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140" windowHeight="4560" tabRatio="931" activeTab="1"/>
  </bookViews>
  <sheets>
    <sheet name="Tabell 5.1" sheetId="1" r:id="rId1"/>
    <sheet name="Tabell 5.2-5.6" sheetId="2" r:id="rId2"/>
    <sheet name="Tabell 5.8" sheetId="3" r:id="rId3"/>
    <sheet name="Tabell 5.12" sheetId="4" r:id="rId4"/>
    <sheet name="Tabell 5.14" sheetId="5" r:id="rId5"/>
    <sheet name="Tabell 5.15" sheetId="6" r:id="rId6"/>
    <sheet name="Tabell 5.16" sheetId="7" r:id="rId7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  <author>PIG</author>
  </authors>
  <commentList>
    <comment ref="B25" authorId="0">
      <text>
        <r>
          <rPr>
            <sz val="12"/>
            <rFont val="Tahoma"/>
            <family val="2"/>
          </rPr>
          <t>Disse tallene er hjelpetall til figuren for å unngå at det blir stående to nuller i origo.</t>
        </r>
        <r>
          <rPr>
            <sz val="9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rFont val="Tahoma"/>
            <family val="2"/>
          </rPr>
          <t xml:space="preserve">Tallet her angir intervallene i nåverdiprofilen
</t>
        </r>
      </text>
    </comment>
    <comment ref="C5" authorId="0">
      <text>
        <r>
          <rPr>
            <sz val="1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rFont val="Tahoma"/>
            <family val="2"/>
          </rPr>
          <t xml:space="preserve">
</t>
        </r>
      </text>
    </comment>
    <comment ref="A1" authorId="0">
      <text>
        <r>
          <rPr>
            <sz val="11"/>
            <rFont val="Times New Roman"/>
            <family val="1"/>
          </rPr>
          <t xml:space="preserve">Brukt regnearket </t>
        </r>
        <r>
          <rPr>
            <i/>
            <sz val="11"/>
            <rFont val="Times New Roman"/>
            <family val="1"/>
          </rPr>
          <t>Lønnsomhet</t>
        </r>
        <r>
          <rPr>
            <sz val="11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  <author>standard</author>
    <author>PIG</author>
  </authors>
  <commentList>
    <comment ref="A1" authorId="0">
      <text>
        <r>
          <rPr>
            <sz val="9"/>
            <rFont val="Tahoma"/>
            <family val="2"/>
          </rPr>
          <t xml:space="preserve">Dette regenarket inneholder tabellene 5.2, 5.4,5.5, 5.6 og 5.7
Mange av forutsetningene for beregningene ligger i kolonnene H, I og J. De ser du ved å klikke på plusstegnet over kolonne K.
Skatteberegningen ligger i linjene 29 til 34. De ser du ved å klikke på plusstegnet utenfor linje 35.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B3" authorId="0">
      <text>
        <r>
          <rPr>
            <sz val="8"/>
            <rFont val="Tahoma"/>
            <family val="2"/>
          </rPr>
          <t xml:space="preserve">Startår
</t>
        </r>
      </text>
    </comment>
    <comment ref="B5" authorId="0">
      <text>
        <r>
          <rPr>
            <sz val="8"/>
            <rFont val="Tahoma"/>
            <family val="2"/>
          </rPr>
          <t xml:space="preserve">Investeringsbeløp ekslusiv dokumentavgift
</t>
        </r>
      </text>
    </comment>
    <comment ref="G5" authorId="0">
      <text>
        <r>
          <rPr>
            <sz val="8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>
      <text>
        <r>
          <rPr>
            <sz val="8"/>
            <rFont val="Tahoma"/>
            <family val="2"/>
          </rPr>
          <t>Årlig verdistigning bolig</t>
        </r>
      </text>
    </comment>
    <comment ref="B6" authorId="0">
      <text>
        <r>
          <rPr>
            <sz val="9"/>
            <rFont val="Tahoma"/>
            <family val="2"/>
          </rPr>
          <t xml:space="preserve">Investering multiplisert med avgiftssats i celle J5
</t>
        </r>
      </text>
    </comment>
    <comment ref="G6" authorId="0">
      <text>
        <r>
          <rPr>
            <sz val="8"/>
            <rFont val="Tahoma"/>
            <family val="2"/>
          </rPr>
          <t xml:space="preserve">Utbetalinger i forbindelse med salget
</t>
        </r>
      </text>
    </comment>
    <comment ref="I6" authorId="1">
      <text>
        <r>
          <rPr>
            <sz val="9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>
      <text>
        <r>
          <rPr>
            <sz val="9"/>
            <rFont val="Tahoma"/>
            <family val="2"/>
          </rPr>
          <t xml:space="preserve">Dokumentavgift ved kjøp
http://www.kartverket.no/dokumentavgift </t>
        </r>
      </text>
    </comment>
    <comment ref="H7" authorId="0">
      <text>
        <r>
          <rPr>
            <sz val="8"/>
            <rFont val="Tahoma"/>
            <family val="2"/>
          </rPr>
          <t xml:space="preserve">Husleie kroner pr. leietaker pr. måned
</t>
        </r>
      </text>
    </comment>
    <comment ref="I7" authorId="0">
      <text>
        <r>
          <rPr>
            <sz val="8"/>
            <rFont val="Tahoma"/>
            <family val="2"/>
          </rPr>
          <t>Antall leietakere</t>
        </r>
      </text>
    </comment>
    <comment ref="J7" authorId="0">
      <text>
        <r>
          <rPr>
            <sz val="8"/>
            <rFont val="Tahoma"/>
            <family val="2"/>
          </rPr>
          <t xml:space="preserve">Årlig økning i husleie
</t>
        </r>
      </text>
    </comment>
    <comment ref="A8" authorId="0">
      <text>
        <r>
          <rPr>
            <sz val="8"/>
            <rFont val="Tahoma"/>
            <family val="2"/>
          </rPr>
          <t xml:space="preserve">Spesifisert i B42 til B47
</t>
        </r>
      </text>
    </comment>
    <comment ref="J8" authorId="0">
      <text>
        <r>
          <rPr>
            <sz val="8"/>
            <rFont val="Tahoma"/>
            <family val="2"/>
          </rPr>
          <t xml:space="preserve">Årlig økning i driftsutbetalinger
</t>
        </r>
      </text>
    </comment>
    <comment ref="H18" authorId="0">
      <text>
        <r>
          <rPr>
            <sz val="9"/>
            <rFont val="Tahoma"/>
            <family val="2"/>
          </rPr>
          <t xml:space="preserve">Lånets løpetid i år
</t>
        </r>
      </text>
    </comment>
    <comment ref="J18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H21" authorId="2">
      <text>
        <r>
          <rPr>
            <sz val="9"/>
            <rFont val="Tahoma"/>
            <family val="2"/>
          </rPr>
          <t xml:space="preserve">Lånets løpetid i år
</t>
        </r>
      </text>
    </comment>
    <comment ref="J21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J25" authorId="1">
      <text>
        <r>
          <rPr>
            <sz val="9"/>
            <rFont val="Tahoma"/>
            <family val="2"/>
          </rPr>
          <t xml:space="preserve">Nominell rente pr. år
</t>
        </r>
      </text>
    </comment>
    <comment ref="I31" authorId="1">
      <text>
        <r>
          <rPr>
            <sz val="9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>
      <text>
        <r>
          <rPr>
            <sz val="9"/>
            <rFont val="Tahoma"/>
            <family val="2"/>
          </rPr>
          <t xml:space="preserve">Settes lik 1 (0) hvis eier (ikke) er i Skatteposisjon
http://www.skatteetaten.no/no/Tabeller-og-satser/Minstefradrag/
</t>
        </r>
      </text>
    </comment>
    <comment ref="A33" authorId="1">
      <text>
        <r>
          <rPr>
            <sz val="9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>
      <text>
        <r>
          <rPr>
            <sz val="9"/>
            <rFont val="Tahoma"/>
            <family val="2"/>
          </rPr>
          <t xml:space="preserve">Skattesats kapitalinntekt
</t>
        </r>
      </text>
    </comment>
    <comment ref="A38" authorId="0">
      <text>
        <r>
          <rPr>
            <sz val="9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H37" authorId="2">
      <text>
        <r>
          <rPr>
            <sz val="9"/>
            <rFont val="Tahoma"/>
            <family val="2"/>
          </rPr>
          <t xml:space="preserve">Husleie for boenhet med tilsvarende standard
</t>
        </r>
      </text>
    </comment>
    <comment ref="J33" authorId="2">
      <text>
        <r>
          <rPr>
            <sz val="9"/>
            <rFont val="Tahoma"/>
            <family val="2"/>
          </rPr>
          <t xml:space="preserve">Prosentandel av boligen som er utleiet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1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5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5.14. Fet font angir inngangsverdi, dvs. data du må legge inn. Vanlig font betyr utgangsverdi, dvs. beregnede tall. 
</t>
        </r>
      </text>
    </comment>
  </commentList>
</comments>
</file>

<file path=xl/comments6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Her beregnes kontanstrømsfordel og nåverdien av denne ved Lånekassens rentefrihet i studietiden kontra å låne til markedsrente. Tall med fet skrift er inngangsdata. Modellen brukes i tabell 5.15.</t>
        </r>
      </text>
    </comment>
  </commentList>
</comments>
</file>

<file path=xl/comments7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 xml:space="preserve">Her beregnes renter og avdrag for serielån og annuitetslån for samme lånebeløp, rente, og avdragstid. Tall med fet skrift er inngangsdata. Modellen brukes i tabell 5.16.
</t>
        </r>
      </text>
    </comment>
  </commentList>
</comments>
</file>

<file path=xl/sharedStrings.xml><?xml version="1.0" encoding="utf-8"?>
<sst xmlns="http://schemas.openxmlformats.org/spreadsheetml/2006/main" count="224" uniqueCount="103">
  <si>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</si>
  <si>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</si>
  <si>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</si>
  <si>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</si>
  <si>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</si>
  <si>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</si>
  <si>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</si>
  <si>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</si>
  <si>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</si>
  <si>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</si>
  <si>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</si>
  <si>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</si>
  <si>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</si>
  <si>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</si>
  <si>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</si>
  <si>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</si>
  <si>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</si>
  <si>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</si>
  <si>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</si>
  <si>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</si>
  <si>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a) Serie</t>
  </si>
  <si>
    <t>Serielån</t>
  </si>
  <si>
    <t>Annuitetslån</t>
  </si>
  <si>
    <t>NV</t>
  </si>
  <si>
    <t>Kvartalsrente</t>
  </si>
  <si>
    <t>Kvartalslån</t>
  </si>
  <si>
    <t>Renter e. skatt</t>
  </si>
  <si>
    <t>Kap kost per år</t>
  </si>
  <si>
    <t>Kvartalsvis</t>
  </si>
  <si>
    <t>NPV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</si>
  <si>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</si>
  <si>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</si>
  <si>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</si>
  <si>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</si>
  <si>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</si>
  <si>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</si>
  <si>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</si>
  <si>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</si>
  <si>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Nåverdi, Lånekassefordel</t>
  </si>
  <si>
    <t>Nåverdi</t>
  </si>
  <si>
    <t>Prosjekt</t>
  </si>
  <si>
    <t>Beta</t>
  </si>
  <si>
    <t>Alfa</t>
  </si>
  <si>
    <t>Internrente</t>
  </si>
  <si>
    <t>Analysenavn</t>
  </si>
  <si>
    <t>Les dette</t>
  </si>
  <si>
    <t>Elektrisitet</t>
  </si>
  <si>
    <t>Forutsetninger</t>
  </si>
  <si>
    <t>Referanse</t>
  </si>
  <si>
    <t>KJØP, SALG, UTLEIE OG DRIFT:</t>
  </si>
  <si>
    <t>Kjøps- og salgsbeløp</t>
  </si>
  <si>
    <t>Transaksjonsutbetalinger</t>
  </si>
  <si>
    <t>Innbetalt husleie</t>
  </si>
  <si>
    <t>Driftsutbetalinger</t>
  </si>
  <si>
    <t>Til totalkapitalen før skatt</t>
  </si>
  <si>
    <t>Tabell 2.5</t>
  </si>
  <si>
    <t>Avdragsfritt lån</t>
  </si>
  <si>
    <t>Tabell 3.3</t>
  </si>
  <si>
    <t>Annuitetsbeløp</t>
  </si>
  <si>
    <t xml:space="preserve">Restlån </t>
  </si>
  <si>
    <t>Tabell 2.6</t>
  </si>
  <si>
    <t>Samlede renter</t>
  </si>
  <si>
    <t>Samlede avdrag</t>
  </si>
  <si>
    <t>Til egenkapitalen før skatt</t>
  </si>
  <si>
    <t>Tabell 2.7</t>
  </si>
  <si>
    <t>SKATT:</t>
  </si>
  <si>
    <t>Salgsgevinst</t>
  </si>
  <si>
    <t>Skatt på salgsgevinst</t>
  </si>
  <si>
    <t>Spart skatt renter</t>
  </si>
  <si>
    <t>Driftsresultat</t>
  </si>
  <si>
    <t>Skatt driftsresultat</t>
  </si>
  <si>
    <t>Skatt</t>
  </si>
  <si>
    <t>Tabell 2.10</t>
  </si>
  <si>
    <t>Kontantstrøm ved leie</t>
  </si>
  <si>
    <t>Differansekontantstrøm</t>
  </si>
  <si>
    <t>Del 2.3 og 4.4</t>
  </si>
  <si>
    <t>Driftsbudsjett</t>
  </si>
  <si>
    <t>Fellesutgifter</t>
  </si>
  <si>
    <t>Vedlikehold</t>
  </si>
  <si>
    <t>Forsikring</t>
  </si>
  <si>
    <t>Annet</t>
  </si>
  <si>
    <t>Til egenkapitalen etter skatt</t>
  </si>
  <si>
    <t>Disse fire linjene henger igjen fra en tidligere versjon av regnearket</t>
  </si>
  <si>
    <t>De er skjult, men ikke fjernet for at linjenummerne skal samsvare med bokens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</si>
  <si>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</si>
  <si>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</si>
  <si>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</si>
  <si>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</si>
  <si>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</si>
  <si>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</si>
  <si>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</si>
  <si>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</si>
  <si>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</si>
  <si>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</si>
  <si>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</si>
  <si>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</si>
  <si>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</si>
  <si>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</si>
  <si>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</si>
  <si>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</si>
  <si>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</si>
  <si>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tusen kr/år</t>
  </si>
  <si>
    <t>Tabell 5.7</t>
  </si>
</sst>
</file>

<file path=xl/styles.xml><?xml version="1.0" encoding="utf-8"?>
<styleSheet xmlns="http://schemas.openxmlformats.org/spreadsheetml/2006/main">
  <numFmts count="3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\ %"/>
    <numFmt numFmtId="179" formatCode="0.0"/>
    <numFmt numFmtId="180" formatCode="0.000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\ %"/>
    <numFmt numFmtId="187" formatCode="#,##0_ ;[Red]\-#,##0\ "/>
    <numFmt numFmtId="188" formatCode="_(* #,##0_);_(* \(#,##0\);_(* &quot;-&quot;??_);_(@_)"/>
    <numFmt numFmtId="189" formatCode="0.0%"/>
    <numFmt numFmtId="190" formatCode="0.00000"/>
    <numFmt numFmtId="191" formatCode="0.000"/>
    <numFmt numFmtId="192" formatCode="0.000000"/>
    <numFmt numFmtId="193" formatCode="#,##0.0"/>
    <numFmt numFmtId="194" formatCode="0%"/>
  </numFmts>
  <fonts count="6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6"/>
      <color indexed="10"/>
      <name val="Times New Roman"/>
      <family val="1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.5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0" fontId="2" fillId="0" borderId="0" xfId="0" applyNumberFormat="1" applyFont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9" fillId="0" borderId="0" xfId="61" applyFont="1">
      <alignment/>
      <protection/>
    </xf>
    <xf numFmtId="0" fontId="9" fillId="0" borderId="0" xfId="61" applyFont="1" applyAlignment="1">
      <alignment horizontal="center"/>
      <protection/>
    </xf>
    <xf numFmtId="0" fontId="60" fillId="0" borderId="0" xfId="61" applyFont="1">
      <alignment/>
      <protection/>
    </xf>
    <xf numFmtId="0" fontId="9" fillId="0" borderId="10" xfId="61" applyFont="1" applyBorder="1">
      <alignment/>
      <protection/>
    </xf>
    <xf numFmtId="0" fontId="10" fillId="0" borderId="10" xfId="61" applyFont="1" applyBorder="1">
      <alignment/>
      <protection/>
    </xf>
    <xf numFmtId="0" fontId="9" fillId="0" borderId="10" xfId="61" applyFont="1" applyBorder="1" applyAlignment="1">
      <alignment horizontal="right"/>
      <protection/>
    </xf>
    <xf numFmtId="0" fontId="10" fillId="0" borderId="0" xfId="61" applyFont="1" applyAlignment="1" quotePrefix="1">
      <alignment horizontal="left"/>
      <protection/>
    </xf>
    <xf numFmtId="3" fontId="10" fillId="0" borderId="0" xfId="61" applyNumberFormat="1" applyFont="1">
      <alignment/>
      <protection/>
    </xf>
    <xf numFmtId="3" fontId="9" fillId="0" borderId="0" xfId="61" applyNumberFormat="1" applyFont="1">
      <alignment/>
      <protection/>
    </xf>
    <xf numFmtId="189" fontId="9" fillId="0" borderId="0" xfId="61" applyNumberFormat="1" applyFont="1">
      <alignment/>
      <protection/>
    </xf>
    <xf numFmtId="0" fontId="10" fillId="0" borderId="0" xfId="61" applyFont="1" applyAlignment="1">
      <alignment horizontal="left"/>
      <protection/>
    </xf>
    <xf numFmtId="9" fontId="9" fillId="0" borderId="10" xfId="65" applyFont="1" applyBorder="1" applyAlignment="1">
      <alignment/>
    </xf>
    <xf numFmtId="9" fontId="10" fillId="0" borderId="10" xfId="65" applyFont="1" applyBorder="1" applyAlignment="1">
      <alignment/>
    </xf>
    <xf numFmtId="9" fontId="9" fillId="0" borderId="10" xfId="61" applyNumberFormat="1" applyFont="1" applyBorder="1">
      <alignment/>
      <protection/>
    </xf>
    <xf numFmtId="0" fontId="9" fillId="0" borderId="0" xfId="61" applyFont="1" applyAlignment="1" quotePrefix="1">
      <alignment horizontal="left"/>
      <protection/>
    </xf>
    <xf numFmtId="3" fontId="9" fillId="0" borderId="0" xfId="44" applyNumberFormat="1" applyFont="1" applyAlignment="1">
      <alignment/>
    </xf>
    <xf numFmtId="171" fontId="9" fillId="0" borderId="0" xfId="44" applyNumberFormat="1" applyFont="1" applyAlignment="1">
      <alignment/>
    </xf>
    <xf numFmtId="188" fontId="9" fillId="0" borderId="0" xfId="44" applyNumberFormat="1" applyFont="1" applyAlignment="1">
      <alignment/>
    </xf>
    <xf numFmtId="178" fontId="9" fillId="0" borderId="0" xfId="61" applyNumberFormat="1" applyFont="1">
      <alignment/>
      <protection/>
    </xf>
    <xf numFmtId="9" fontId="10" fillId="0" borderId="0" xfId="61" applyNumberFormat="1" applyFont="1">
      <alignment/>
      <protection/>
    </xf>
    <xf numFmtId="9" fontId="9" fillId="0" borderId="0" xfId="61" applyNumberFormat="1" applyFont="1">
      <alignment/>
      <protection/>
    </xf>
    <xf numFmtId="3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2" fillId="0" borderId="11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61" fillId="0" borderId="0" xfId="61" applyFont="1">
      <alignment/>
      <protection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3" fontId="10" fillId="0" borderId="0" xfId="44" applyNumberFormat="1" applyFont="1" applyAlignment="1">
      <alignment/>
    </xf>
    <xf numFmtId="178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" fontId="9" fillId="0" borderId="0" xfId="0" applyNumberFormat="1" applyFont="1" applyAlignment="1" quotePrefix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9" fontId="10" fillId="0" borderId="0" xfId="0" applyNumberFormat="1" applyFont="1" applyAlignment="1">
      <alignment horizontal="right"/>
    </xf>
    <xf numFmtId="9" fontId="9" fillId="0" borderId="0" xfId="0" applyNumberFormat="1" applyFont="1" applyAlignment="1">
      <alignment/>
    </xf>
    <xf numFmtId="9" fontId="9" fillId="0" borderId="0" xfId="0" applyNumberFormat="1" applyFont="1" applyAlignment="1">
      <alignment horizontal="right"/>
    </xf>
    <xf numFmtId="9" fontId="10" fillId="0" borderId="0" xfId="0" applyNumberFormat="1" applyFont="1" applyAlignment="1">
      <alignment/>
    </xf>
    <xf numFmtId="1" fontId="9" fillId="0" borderId="0" xfId="44" applyNumberFormat="1" applyFont="1" applyAlignment="1">
      <alignment/>
    </xf>
    <xf numFmtId="0" fontId="10" fillId="0" borderId="0" xfId="59" applyFont="1">
      <alignment/>
      <protection/>
    </xf>
    <xf numFmtId="0" fontId="9" fillId="0" borderId="0" xfId="59" applyFont="1" applyAlignment="1">
      <alignment horizontal="left"/>
      <protection/>
    </xf>
    <xf numFmtId="0" fontId="9" fillId="0" borderId="0" xfId="59" applyFont="1">
      <alignment/>
      <protection/>
    </xf>
    <xf numFmtId="0" fontId="0" fillId="0" borderId="0" xfId="59">
      <alignment/>
      <protection/>
    </xf>
    <xf numFmtId="0" fontId="9" fillId="0" borderId="0" xfId="59" applyFont="1" applyAlignment="1">
      <alignment horizontal="right"/>
      <protection/>
    </xf>
    <xf numFmtId="3" fontId="10" fillId="0" borderId="0" xfId="59" applyNumberFormat="1" applyFont="1">
      <alignment/>
      <protection/>
    </xf>
    <xf numFmtId="3" fontId="9" fillId="0" borderId="0" xfId="59" applyNumberFormat="1" applyFont="1">
      <alignment/>
      <protection/>
    </xf>
    <xf numFmtId="1" fontId="9" fillId="0" borderId="0" xfId="59" applyNumberFormat="1" applyFont="1">
      <alignment/>
      <protection/>
    </xf>
    <xf numFmtId="3" fontId="9" fillId="0" borderId="0" xfId="59" applyNumberFormat="1" applyFont="1" applyAlignment="1" quotePrefix="1">
      <alignment horizontal="left"/>
      <protection/>
    </xf>
    <xf numFmtId="4" fontId="10" fillId="0" borderId="0" xfId="59" applyNumberFormat="1" applyFont="1">
      <alignment/>
      <protection/>
    </xf>
    <xf numFmtId="4" fontId="9" fillId="0" borderId="0" xfId="59" applyNumberFormat="1" applyFont="1" applyAlignment="1" quotePrefix="1">
      <alignment horizontal="left"/>
      <protection/>
    </xf>
    <xf numFmtId="0" fontId="9" fillId="0" borderId="0" xfId="59" applyFont="1" applyAlignment="1" quotePrefix="1">
      <alignment horizontal="left"/>
      <protection/>
    </xf>
    <xf numFmtId="2" fontId="9" fillId="0" borderId="0" xfId="59" applyNumberFormat="1" applyFont="1">
      <alignment/>
      <protection/>
    </xf>
    <xf numFmtId="9" fontId="10" fillId="0" borderId="0" xfId="66" applyNumberFormat="1" applyFont="1" applyAlignment="1">
      <alignment horizontal="right"/>
    </xf>
    <xf numFmtId="179" fontId="9" fillId="0" borderId="0" xfId="59" applyNumberFormat="1" applyFont="1">
      <alignment/>
      <protection/>
    </xf>
    <xf numFmtId="1" fontId="0" fillId="0" borderId="0" xfId="59" applyNumberFormat="1">
      <alignment/>
      <protection/>
    </xf>
    <xf numFmtId="180" fontId="9" fillId="0" borderId="0" xfId="59" applyNumberFormat="1" applyFont="1">
      <alignment/>
      <protection/>
    </xf>
    <xf numFmtId="191" fontId="9" fillId="0" borderId="0" xfId="59" applyNumberFormat="1" applyFont="1">
      <alignment/>
      <protection/>
    </xf>
    <xf numFmtId="9" fontId="9" fillId="0" borderId="0" xfId="59" applyNumberFormat="1" applyFont="1">
      <alignment/>
      <protection/>
    </xf>
    <xf numFmtId="9" fontId="8" fillId="0" borderId="0" xfId="59" applyNumberFormat="1" applyFont="1">
      <alignment/>
      <protection/>
    </xf>
    <xf numFmtId="9" fontId="10" fillId="0" borderId="0" xfId="59" applyNumberFormat="1" applyFont="1">
      <alignment/>
      <protection/>
    </xf>
    <xf numFmtId="9" fontId="9" fillId="0" borderId="0" xfId="59" applyNumberFormat="1" applyFont="1" applyAlignment="1">
      <alignment horizontal="right"/>
      <protection/>
    </xf>
    <xf numFmtId="3" fontId="9" fillId="0" borderId="0" xfId="59" applyNumberFormat="1" applyFont="1" applyAlignment="1">
      <alignment horizontal="right"/>
      <protection/>
    </xf>
    <xf numFmtId="1" fontId="10" fillId="0" borderId="0" xfId="44" applyNumberFormat="1" applyFont="1" applyAlignment="1">
      <alignment/>
    </xf>
    <xf numFmtId="1" fontId="9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1" xfId="44" applyNumberFormat="1" applyFont="1" applyBorder="1" applyAlignment="1">
      <alignment/>
    </xf>
    <xf numFmtId="3" fontId="9" fillId="0" borderId="10" xfId="44" applyNumberFormat="1" applyFont="1" applyBorder="1" applyAlignment="1">
      <alignment/>
    </xf>
    <xf numFmtId="3" fontId="10" fillId="0" borderId="10" xfId="44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61" applyFont="1">
      <alignment/>
      <protection/>
    </xf>
    <xf numFmtId="0" fontId="0" fillId="0" borderId="10" xfId="59" applyBorder="1">
      <alignment/>
      <protection/>
    </xf>
    <xf numFmtId="9" fontId="9" fillId="0" borderId="10" xfId="59" applyNumberFormat="1" applyFont="1" applyBorder="1">
      <alignment/>
      <protection/>
    </xf>
    <xf numFmtId="9" fontId="10" fillId="0" borderId="10" xfId="59" applyNumberFormat="1" applyFont="1" applyBorder="1">
      <alignment/>
      <protection/>
    </xf>
    <xf numFmtId="9" fontId="9" fillId="0" borderId="10" xfId="59" applyNumberFormat="1" applyFont="1" applyBorder="1" applyAlignment="1">
      <alignment horizontal="right"/>
      <protection/>
    </xf>
    <xf numFmtId="3" fontId="16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9" fillId="0" borderId="10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10" fontId="10" fillId="0" borderId="0" xfId="0" applyNumberFormat="1" applyFont="1" applyAlignment="1">
      <alignment/>
    </xf>
    <xf numFmtId="0" fontId="62" fillId="0" borderId="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right" vertical="center" wrapText="1"/>
    </xf>
    <xf numFmtId="0" fontId="62" fillId="0" borderId="0" xfId="0" applyFont="1" applyBorder="1" applyAlignment="1">
      <alignment wrapText="1"/>
    </xf>
    <xf numFmtId="0" fontId="62" fillId="0" borderId="0" xfId="0" applyFont="1" applyBorder="1" applyAlignment="1">
      <alignment horizontal="right" wrapText="1"/>
    </xf>
    <xf numFmtId="1" fontId="62" fillId="0" borderId="0" xfId="0" applyNumberFormat="1" applyFont="1" applyBorder="1" applyAlignment="1">
      <alignment horizontal="right" wrapText="1"/>
    </xf>
    <xf numFmtId="0" fontId="62" fillId="0" borderId="11" xfId="0" applyFont="1" applyBorder="1" applyAlignment="1">
      <alignment wrapText="1"/>
    </xf>
    <xf numFmtId="1" fontId="62" fillId="0" borderId="11" xfId="0" applyNumberFormat="1" applyFont="1" applyBorder="1" applyAlignment="1">
      <alignment horizontal="right" wrapText="1"/>
    </xf>
    <xf numFmtId="0" fontId="62" fillId="0" borderId="11" xfId="0" applyFont="1" applyBorder="1" applyAlignment="1">
      <alignment horizontal="right" wrapText="1"/>
    </xf>
    <xf numFmtId="3" fontId="9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3" fontId="1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9" fillId="0" borderId="1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4" fillId="0" borderId="0" xfId="0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0" fontId="9" fillId="0" borderId="0" xfId="61" applyFont="1" applyAlignment="1">
      <alignment horizontal="center"/>
      <protection/>
    </xf>
    <xf numFmtId="0" fontId="10" fillId="0" borderId="0" xfId="61" applyFont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9" fillId="0" borderId="0" xfId="59" applyFont="1" applyAlignment="1">
      <alignment horizontal="center"/>
      <protection/>
    </xf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0" fillId="0" borderId="0" xfId="0" applyNumberFormat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2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09"/>
          <c:w val="0.76"/>
          <c:h val="0.95725"/>
        </c:manualLayout>
      </c:layout>
      <c:lineChart>
        <c:grouping val="standard"/>
        <c:varyColors val="0"/>
        <c:ser>
          <c:idx val="0"/>
          <c:order val="0"/>
          <c:tx>
            <c:strRef>
              <c:f>'Tabell 5.1'!$A$11</c:f>
              <c:strCache>
                <c:ptCount val="1"/>
                <c:pt idx="0">
                  <c:v>Alfa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5.1'!$A$25:$G$25</c:f>
              <c:numCache/>
            </c:numRef>
          </c:cat>
          <c:val>
            <c:numRef>
              <c:f>'Tabell 5.1'!$B$11:$H$11</c:f>
              <c:numCache/>
            </c:numRef>
          </c:val>
          <c:smooth val="1"/>
        </c:ser>
        <c:ser>
          <c:idx val="1"/>
          <c:order val="1"/>
          <c:tx>
            <c:strRef>
              <c:f>'Tabell 5.1'!$A$12</c:f>
              <c:strCache>
                <c:ptCount val="1"/>
                <c:pt idx="0">
                  <c:v>Beta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'Tabell 5.1'!$A$25:$G$25</c:f>
              <c:numCache/>
            </c:numRef>
          </c:cat>
          <c:val>
            <c:numRef>
              <c:f>'Tabell 5.1'!$B$12:$H$12</c:f>
            </c:numRef>
          </c:val>
          <c:smooth val="0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 (%)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859"/>
        <c:crosses val="autoZero"/>
        <c:auto val="1"/>
        <c:lblOffset val="100"/>
        <c:tickLblSkip val="1"/>
        <c:noMultiLvlLbl val="0"/>
      </c:catAx>
      <c:valAx>
        <c:axId val="33574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132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825"/>
          <c:w val="0.984"/>
          <c:h val="0.85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5.8'!$B$25:$G$25</c:f>
              <c:numCache/>
            </c:numRef>
          </c:cat>
          <c:val>
            <c:numRef>
              <c:f>'Tabell 5.8'!$B$19:$G$19</c:f>
              <c:numCache/>
            </c:numRef>
          </c:val>
          <c:smooth val="0"/>
        </c:ser>
        <c:marker val="1"/>
        <c:axId val="33738276"/>
        <c:axId val="35209029"/>
      </c:lineChart>
      <c:catAx>
        <c:axId val="33738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Kapitalkostnad</a:t>
                </a:r>
              </a:p>
            </c:rich>
          </c:tx>
          <c:layout>
            <c:manualLayout>
              <c:xMode val="factor"/>
              <c:yMode val="factor"/>
              <c:x val="0.04625"/>
              <c:y val="-0.03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9029"/>
        <c:crosses val="autoZero"/>
        <c:auto val="1"/>
        <c:lblOffset val="100"/>
        <c:tickLblSkip val="1"/>
        <c:noMultiLvlLbl val="0"/>
      </c:catAx>
      <c:valAx>
        <c:axId val="35209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Nåverdi (mill.kr)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382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-0.00875"/>
          <c:w val="0.92625"/>
          <c:h val="0.93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'Tabell 5.14'!$N$8:$U$8</c:f>
              <c:numCache/>
            </c:numRef>
          </c:cat>
          <c:val>
            <c:numRef>
              <c:f>'Tabell 5.14'!$N$11:$U$11</c:f>
              <c:numCache/>
            </c:numRef>
          </c:val>
          <c:smooth val="0"/>
        </c:ser>
        <c:marker val="1"/>
        <c:axId val="48445806"/>
        <c:axId val="33359071"/>
      </c:lineChart>
      <c:catAx>
        <c:axId val="4844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0.02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3359071"/>
        <c:crosses val="autoZero"/>
        <c:auto val="1"/>
        <c:lblOffset val="100"/>
        <c:tickLblSkip val="1"/>
        <c:noMultiLvlLbl val="0"/>
      </c:catAx>
      <c:valAx>
        <c:axId val="3335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Nåverdi (mill. kr.)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CCCC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484458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1796184"/>
        <c:axId val="17730201"/>
      </c:lineChart>
      <c:catAx>
        <c:axId val="3179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Diskonteringsrente,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30201"/>
        <c:crosses val="autoZero"/>
        <c:auto val="1"/>
        <c:lblOffset val="100"/>
        <c:tickLblSkip val="1"/>
        <c:noMultiLvlLbl val="0"/>
      </c:catAx>
      <c:valAx>
        <c:axId val="1773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</a:rPr>
                  <a:t>Nåverdi (mill. kr)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961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85725</xdr:rowOff>
    </xdr:from>
    <xdr:to>
      <xdr:col>22</xdr:col>
      <xdr:colOff>609600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257175" y="2181225"/>
        <a:ext cx="59055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</cdr:x>
      <cdr:y>0.47875</cdr:y>
    </cdr:from>
    <cdr:to>
      <cdr:x>0.99125</cdr:x>
      <cdr:y>0.54175</cdr:y>
    </cdr:to>
    <cdr:sp>
      <cdr:nvSpPr>
        <cdr:cNvPr id="1" name="Text Box 1"/>
        <cdr:cNvSpPr txBox="1">
          <a:spLocks noChangeArrowheads="1"/>
        </cdr:cNvSpPr>
      </cdr:nvSpPr>
      <cdr:spPr>
        <a:xfrm>
          <a:off x="3981450" y="1476375"/>
          <a:ext cx="12382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0.00625</cdr:x>
      <cdr:y>0.0395</cdr:y>
    </cdr:from>
    <cdr:to>
      <cdr:x>0.2075</cdr:x>
      <cdr:y>0.094</cdr:y>
    </cdr:to>
    <cdr:sp>
      <cdr:nvSpPr>
        <cdr:cNvPr id="2" name="Text Box 2"/>
        <cdr:cNvSpPr txBox="1">
          <a:spLocks noChangeArrowheads="1"/>
        </cdr:cNvSpPr>
      </cdr:nvSpPr>
      <cdr:spPr>
        <a:xfrm>
          <a:off x="28575" y="114300"/>
          <a:ext cx="10572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0.50875</cdr:x>
      <cdr:y>0.50125</cdr:y>
    </cdr:from>
    <cdr:to>
      <cdr:x>0.5325</cdr:x>
      <cdr:y>0.55725</cdr:y>
    </cdr:to>
    <cdr:sp>
      <cdr:nvSpPr>
        <cdr:cNvPr id="3" name="Text Box 3"/>
        <cdr:cNvSpPr txBox="1">
          <a:spLocks noChangeArrowheads="1"/>
        </cdr:cNvSpPr>
      </cdr:nvSpPr>
      <cdr:spPr>
        <a:xfrm>
          <a:off x="2676525" y="1543050"/>
          <a:ext cx="1238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22</xdr:row>
      <xdr:rowOff>142875</xdr:rowOff>
    </xdr:from>
    <xdr:to>
      <xdr:col>15</xdr:col>
      <xdr:colOff>400050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76250" y="3867150"/>
        <a:ext cx="52673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114300</xdr:colOff>
      <xdr:row>6</xdr:row>
      <xdr:rowOff>0</xdr:rowOff>
    </xdr:from>
    <xdr:to>
      <xdr:col>29</xdr:col>
      <xdr:colOff>466725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11087100" y="990600"/>
        <a:ext cx="49720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>
      <xdr:nvGraphicFramePr>
        <xdr:cNvPr id="1" name="Chart 2"/>
        <xdr:cNvGraphicFramePr/>
      </xdr:nvGraphicFramePr>
      <xdr:xfrm>
        <a:off x="542925" y="190500"/>
        <a:ext cx="465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 outlineLevelRow="1" outlineLevelCol="1"/>
  <cols>
    <col min="1" max="1" width="21.28125" style="17" customWidth="1"/>
    <col min="2" max="5" width="8.421875" style="17" customWidth="1"/>
    <col min="6" max="6" width="11.421875" style="17" customWidth="1"/>
    <col min="7" max="8" width="8.421875" style="17" customWidth="1"/>
    <col min="9" max="22" width="7.8515625" style="17" hidden="1" customWidth="1" outlineLevel="1"/>
    <col min="23" max="23" width="11.421875" style="17" customWidth="1" collapsed="1"/>
    <col min="24" max="16384" width="11.421875" style="17" customWidth="1"/>
  </cols>
  <sheetData>
    <row r="1" ht="15">
      <c r="A1" s="107" t="s">
        <v>45</v>
      </c>
    </row>
    <row r="2" spans="3:23" ht="15" customHeight="1">
      <c r="C2" s="159" t="s">
        <v>44</v>
      </c>
      <c r="D2" s="159"/>
      <c r="E2" s="159"/>
      <c r="F2" s="159"/>
      <c r="G2" s="159"/>
      <c r="W2" s="53"/>
    </row>
    <row r="3" spans="4:8" ht="15">
      <c r="D3" s="18"/>
      <c r="E3" s="18"/>
      <c r="F3" s="18"/>
      <c r="G3" s="18"/>
      <c r="H3" s="18"/>
    </row>
    <row r="4" spans="1:8" ht="15">
      <c r="A4" s="19" t="s">
        <v>1</v>
      </c>
      <c r="B4" s="158" t="s">
        <v>37</v>
      </c>
      <c r="C4" s="158"/>
      <c r="D4" s="158"/>
      <c r="E4" s="158"/>
      <c r="F4" s="158"/>
      <c r="G4" s="158"/>
      <c r="H4" s="158"/>
    </row>
    <row r="5" spans="1:23" ht="15">
      <c r="A5" s="20" t="s">
        <v>40</v>
      </c>
      <c r="B5" s="21">
        <v>2016</v>
      </c>
      <c r="C5" s="20">
        <f aca="true" t="shared" si="0" ref="C5:V5">B5+1</f>
        <v>2017</v>
      </c>
      <c r="D5" s="20">
        <f t="shared" si="0"/>
        <v>2018</v>
      </c>
      <c r="E5" s="20">
        <f t="shared" si="0"/>
        <v>2019</v>
      </c>
      <c r="F5" s="20">
        <f t="shared" si="0"/>
        <v>2020</v>
      </c>
      <c r="G5" s="20">
        <f t="shared" si="0"/>
        <v>2021</v>
      </c>
      <c r="H5" s="20">
        <f t="shared" si="0"/>
        <v>2022</v>
      </c>
      <c r="I5" s="20">
        <f t="shared" si="0"/>
        <v>2023</v>
      </c>
      <c r="J5" s="20">
        <f t="shared" si="0"/>
        <v>2024</v>
      </c>
      <c r="K5" s="20">
        <f t="shared" si="0"/>
        <v>2025</v>
      </c>
      <c r="L5" s="20">
        <f t="shared" si="0"/>
        <v>2026</v>
      </c>
      <c r="M5" s="20">
        <f t="shared" si="0"/>
        <v>2027</v>
      </c>
      <c r="N5" s="20">
        <f t="shared" si="0"/>
        <v>2028</v>
      </c>
      <c r="O5" s="20">
        <f t="shared" si="0"/>
        <v>2029</v>
      </c>
      <c r="P5" s="20">
        <f t="shared" si="0"/>
        <v>2030</v>
      </c>
      <c r="Q5" s="20">
        <f t="shared" si="0"/>
        <v>2031</v>
      </c>
      <c r="R5" s="20">
        <f t="shared" si="0"/>
        <v>2032</v>
      </c>
      <c r="S5" s="20">
        <f t="shared" si="0"/>
        <v>2033</v>
      </c>
      <c r="T5" s="20">
        <f t="shared" si="0"/>
        <v>2034</v>
      </c>
      <c r="U5" s="20">
        <f t="shared" si="0"/>
        <v>2035</v>
      </c>
      <c r="V5" s="20">
        <f t="shared" si="0"/>
        <v>2036</v>
      </c>
      <c r="W5" s="22" t="s">
        <v>43</v>
      </c>
    </row>
    <row r="6" spans="1:23" ht="15">
      <c r="A6" s="23" t="s">
        <v>42</v>
      </c>
      <c r="B6" s="24">
        <v>-10600</v>
      </c>
      <c r="C6" s="24">
        <v>61</v>
      </c>
      <c r="D6" s="24">
        <v>6886</v>
      </c>
      <c r="E6" s="24">
        <v>6045</v>
      </c>
      <c r="F6" s="24"/>
      <c r="G6" s="24"/>
      <c r="H6" s="24"/>
      <c r="I6" s="25"/>
      <c r="J6" s="25"/>
      <c r="K6" s="25"/>
      <c r="W6" s="26">
        <f>IRR(B6:V6)</f>
        <v>0.08660327469004736</v>
      </c>
    </row>
    <row r="7" spans="1:23" ht="12.75" customHeight="1" hidden="1" outlineLevel="1">
      <c r="A7" s="27" t="s">
        <v>41</v>
      </c>
      <c r="B7" s="24">
        <v>-20000</v>
      </c>
      <c r="C7" s="24">
        <v>7000</v>
      </c>
      <c r="D7" s="24">
        <v>2000</v>
      </c>
      <c r="E7" s="24">
        <v>9000</v>
      </c>
      <c r="F7" s="24">
        <v>11000</v>
      </c>
      <c r="G7" s="24">
        <v>2000</v>
      </c>
      <c r="H7" s="24">
        <v>7000</v>
      </c>
      <c r="I7" s="25"/>
      <c r="J7" s="25"/>
      <c r="K7" s="25"/>
      <c r="W7" s="26">
        <f>IRR(B7:V7)</f>
        <v>0.21727421253664736</v>
      </c>
    </row>
    <row r="8" ht="15" collapsed="1"/>
    <row r="9" spans="1:8" ht="15">
      <c r="A9" s="19" t="s">
        <v>39</v>
      </c>
      <c r="B9" s="158" t="s">
        <v>17</v>
      </c>
      <c r="C9" s="158"/>
      <c r="D9" s="158"/>
      <c r="E9" s="158"/>
      <c r="F9" s="158"/>
      <c r="G9" s="158"/>
      <c r="H9" s="158"/>
    </row>
    <row r="10" spans="1:8" ht="15">
      <c r="A10" s="20" t="s">
        <v>40</v>
      </c>
      <c r="B10" s="28">
        <f>C10-C10</f>
        <v>0</v>
      </c>
      <c r="C10" s="29">
        <v>0.03</v>
      </c>
      <c r="D10" s="30">
        <f>C10+$C$10</f>
        <v>0.06</v>
      </c>
      <c r="E10" s="30">
        <f>D10+$C$10</f>
        <v>0.09</v>
      </c>
      <c r="F10" s="30">
        <f>E10+$C$10</f>
        <v>0.12</v>
      </c>
      <c r="G10" s="30">
        <f>F10+$C$10</f>
        <v>0.15</v>
      </c>
      <c r="H10" s="30">
        <f>G10+$C$10</f>
        <v>0.18</v>
      </c>
    </row>
    <row r="11" spans="1:9" ht="15">
      <c r="A11" s="31" t="str">
        <f>A6</f>
        <v>Alfa</v>
      </c>
      <c r="B11" s="32">
        <f>NPV(B10,$B6:$V$6)*(1+B10)</f>
        <v>2392</v>
      </c>
      <c r="C11" s="32">
        <f>NPV(C10,$B6:$V$6)*(1+C10)</f>
        <v>1481.970062055757</v>
      </c>
      <c r="D11" s="32">
        <f>NPV(D10,$B6:$V$6)*(1+D10)</f>
        <v>661.5612216796399</v>
      </c>
      <c r="E11" s="32">
        <f>NPV(E10,$B6:$V$6)*(1+E10)</f>
        <v>-80.37912664504165</v>
      </c>
      <c r="F11" s="32">
        <f>NPV(F10,$B6:$V$6)*(1+F10)</f>
        <v>-753.3470754373193</v>
      </c>
      <c r="G11" s="32">
        <f>NPV(G10,$B6:$V$6)*(1+G10)</f>
        <v>-1365.4656036820884</v>
      </c>
      <c r="H11" s="32">
        <f>NPV(H10,$B6:$V$6)*(1+H10)</f>
        <v>-1923.7134760613308</v>
      </c>
      <c r="I11" s="33"/>
    </row>
    <row r="12" spans="1:8" ht="15" hidden="1" outlineLevel="1">
      <c r="A12" s="31" t="str">
        <f>A7</f>
        <v>Beta</v>
      </c>
      <c r="B12" s="32">
        <f>NPV(B10,$B$7:$V7)*(1+B10)</f>
        <v>18000</v>
      </c>
      <c r="C12" s="32">
        <f>NPV(C10,$B$7:$V7)*(1+C10)</f>
        <v>14278.548149926799</v>
      </c>
      <c r="D12" s="32">
        <f>NPV(D10,$B$7:$V7)*(1+D10)</f>
        <v>11082.610436652925</v>
      </c>
      <c r="E12" s="32">
        <f>NPV(E10,$B$7:$V7)*(1+E10)</f>
        <v>8321.441038174913</v>
      </c>
      <c r="F12" s="32">
        <f>NPV(F10,$B$7:$V7)*(1+F10)</f>
        <v>5922.380407554325</v>
      </c>
      <c r="G12" s="32">
        <f>NPV(G10,$B$7:$V7)*(1+G10)</f>
        <v>3826.8222917214425</v>
      </c>
      <c r="H12" s="32">
        <f>NPV(H10,$B$7:$V7)*(1+H10)</f>
        <v>1987.1669368480018</v>
      </c>
    </row>
    <row r="13" ht="15" collapsed="1"/>
    <row r="14" ht="15">
      <c r="Y14" s="34"/>
    </row>
    <row r="15" ht="15"/>
    <row r="16" ht="15"/>
    <row r="17" ht="15"/>
    <row r="18" ht="15"/>
    <row r="19" ht="15"/>
    <row r="20" ht="15"/>
    <row r="21" ht="15"/>
    <row r="22" ht="15"/>
    <row r="23" ht="15"/>
    <row r="24" ht="15"/>
    <row r="25" spans="2:7" ht="15">
      <c r="B25" s="34">
        <f aca="true" t="shared" si="1" ref="B25:G25">C10*100</f>
        <v>3</v>
      </c>
      <c r="C25" s="34">
        <f t="shared" si="1"/>
        <v>6</v>
      </c>
      <c r="D25" s="34">
        <f t="shared" si="1"/>
        <v>9</v>
      </c>
      <c r="E25" s="34">
        <f t="shared" si="1"/>
        <v>12</v>
      </c>
      <c r="F25" s="34">
        <f t="shared" si="1"/>
        <v>15</v>
      </c>
      <c r="G25" s="34">
        <f t="shared" si="1"/>
        <v>18</v>
      </c>
    </row>
    <row r="33" ht="15">
      <c r="B33" s="35"/>
    </row>
    <row r="37" ht="15">
      <c r="A37" s="31"/>
    </row>
    <row r="53" spans="2:8" ht="15">
      <c r="B53" s="36"/>
      <c r="C53" s="37"/>
      <c r="D53" s="37"/>
      <c r="E53" s="37"/>
      <c r="F53" s="37"/>
      <c r="G53" s="37"/>
      <c r="H53" s="37"/>
    </row>
  </sheetData>
  <sheetProtection/>
  <mergeCells count="3">
    <mergeCell ref="B9:H9"/>
    <mergeCell ref="B4:H4"/>
    <mergeCell ref="C2:G2"/>
  </mergeCells>
  <printOptions gridLines="1"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="140" zoomScaleNormal="140" zoomScalePageLayoutView="0" workbookViewId="0" topLeftCell="A1">
      <selection activeCell="L6" sqref="L6"/>
    </sheetView>
  </sheetViews>
  <sheetFormatPr defaultColWidth="9.140625" defaultRowHeight="12.75" outlineLevelRow="1" outlineLevelCol="1"/>
  <cols>
    <col min="1" max="1" width="26.57421875" style="0" customWidth="1"/>
    <col min="2" max="7" width="8.421875" style="0" customWidth="1"/>
    <col min="8" max="10" width="7.7109375" style="0" customWidth="1" outlineLevel="1"/>
    <col min="11" max="11" width="13.28125" style="0" customWidth="1"/>
  </cols>
  <sheetData>
    <row r="1" spans="1:12" ht="15" outlineLevel="1">
      <c r="A1" s="58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4"/>
      <c r="B2" s="55"/>
      <c r="C2" s="160" t="s">
        <v>37</v>
      </c>
      <c r="D2" s="160"/>
      <c r="E2" s="160"/>
      <c r="F2" s="160"/>
      <c r="G2" s="160"/>
      <c r="H2" s="54"/>
      <c r="I2" s="56" t="s">
        <v>47</v>
      </c>
      <c r="J2" s="54"/>
      <c r="K2" s="57" t="s">
        <v>48</v>
      </c>
      <c r="L2" s="54"/>
    </row>
    <row r="3" spans="1:12" ht="15">
      <c r="A3" s="54"/>
      <c r="B3" s="58">
        <v>2016</v>
      </c>
      <c r="C3" s="54">
        <f>B3+1</f>
        <v>2017</v>
      </c>
      <c r="D3" s="54">
        <f>C3+1</f>
        <v>2018</v>
      </c>
      <c r="E3" s="54">
        <f>D3+1</f>
        <v>2019</v>
      </c>
      <c r="F3" s="54">
        <f>E3+1</f>
        <v>2020</v>
      </c>
      <c r="G3" s="54">
        <f>F3+1</f>
        <v>2021</v>
      </c>
      <c r="H3" s="54"/>
      <c r="I3" s="54"/>
      <c r="J3" s="54"/>
      <c r="K3" s="54"/>
      <c r="L3" s="54"/>
    </row>
    <row r="4" spans="1:12" ht="15">
      <c r="A4" s="54" t="s">
        <v>49</v>
      </c>
      <c r="B4" s="58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15">
      <c r="A5" s="54" t="s">
        <v>50</v>
      </c>
      <c r="B5" s="59">
        <v>-3100</v>
      </c>
      <c r="C5" s="32"/>
      <c r="D5" s="32"/>
      <c r="E5" s="32"/>
      <c r="F5" s="32"/>
      <c r="G5" s="32">
        <f>-B5*(1+J5)^5</f>
        <v>3771.623997440001</v>
      </c>
      <c r="H5" s="54"/>
      <c r="I5" s="54"/>
      <c r="J5" s="60">
        <v>0.04</v>
      </c>
      <c r="K5" s="60"/>
      <c r="L5" s="54"/>
    </row>
    <row r="6" spans="1:12" ht="15">
      <c r="A6" s="54" t="s">
        <v>51</v>
      </c>
      <c r="B6" s="32">
        <f>B5*I6*J6</f>
        <v>0</v>
      </c>
      <c r="C6" s="32"/>
      <c r="D6" s="32"/>
      <c r="E6" s="32"/>
      <c r="F6" s="32"/>
      <c r="G6" s="61">
        <v>-60</v>
      </c>
      <c r="H6" s="54"/>
      <c r="I6" s="61">
        <v>0</v>
      </c>
      <c r="J6" s="60">
        <v>0.025</v>
      </c>
      <c r="K6" s="60"/>
      <c r="L6" s="54"/>
    </row>
    <row r="7" spans="1:12" ht="15">
      <c r="A7" s="54" t="s">
        <v>52</v>
      </c>
      <c r="B7" s="32">
        <f>H7*I7*12/1000</f>
        <v>144</v>
      </c>
      <c r="C7" s="32">
        <f>B7*(1+$J$8)</f>
        <v>146.88</v>
      </c>
      <c r="D7" s="32">
        <f>C7*(1+$J$8)</f>
        <v>149.8176</v>
      </c>
      <c r="E7" s="32">
        <f>D7*(1+$J$8)</f>
        <v>152.813952</v>
      </c>
      <c r="F7" s="32">
        <f>E7*(1+$J$8)</f>
        <v>155.87023104</v>
      </c>
      <c r="G7" s="32">
        <f>F7*(1+$J$8)</f>
        <v>158.9876356608</v>
      </c>
      <c r="H7" s="61">
        <v>6000</v>
      </c>
      <c r="I7" s="58">
        <v>2</v>
      </c>
      <c r="J7" s="60">
        <v>0.02</v>
      </c>
      <c r="K7" s="60"/>
      <c r="L7" s="54"/>
    </row>
    <row r="8" spans="1:12" ht="15">
      <c r="A8" s="98" t="s">
        <v>53</v>
      </c>
      <c r="B8" s="103">
        <f>-B47</f>
        <v>-68</v>
      </c>
      <c r="C8" s="103">
        <f>$B8*(1+$J8)^(C3-$B3)</f>
        <v>-69.36</v>
      </c>
      <c r="D8" s="103">
        <f>$B8*(1+$J8)^(D3-$B3)</f>
        <v>-70.74719999999999</v>
      </c>
      <c r="E8" s="103">
        <f>$B8*(1+$J8)^(E3-$B3)</f>
        <v>-72.162144</v>
      </c>
      <c r="F8" s="103">
        <f>$B8*(1+$J8)^(F3-$B3)</f>
        <v>-73.60538688</v>
      </c>
      <c r="G8" s="103">
        <f>$B8*(1+$J8)^(G3-$B3)</f>
        <v>-75.0774946176</v>
      </c>
      <c r="H8" s="62"/>
      <c r="I8" s="58"/>
      <c r="J8" s="60">
        <v>0.02</v>
      </c>
      <c r="K8" s="60"/>
      <c r="L8" s="54"/>
    </row>
    <row r="9" spans="1:12" ht="15">
      <c r="A9" s="54" t="s">
        <v>54</v>
      </c>
      <c r="B9" s="32">
        <f aca="true" t="shared" si="0" ref="B9:G9">B5+B6+B7+B8</f>
        <v>-3024</v>
      </c>
      <c r="C9" s="32">
        <f t="shared" si="0"/>
        <v>77.52</v>
      </c>
      <c r="D9" s="32">
        <f t="shared" si="0"/>
        <v>79.0704</v>
      </c>
      <c r="E9" s="32">
        <f t="shared" si="0"/>
        <v>80.651808</v>
      </c>
      <c r="F9" s="32">
        <f t="shared" si="0"/>
        <v>82.26484416</v>
      </c>
      <c r="G9" s="32">
        <f t="shared" si="0"/>
        <v>3795.534138483201</v>
      </c>
      <c r="H9" s="62"/>
      <c r="I9" s="58"/>
      <c r="J9" s="54"/>
      <c r="K9" s="63" t="s">
        <v>55</v>
      </c>
      <c r="L9" s="54"/>
    </row>
    <row r="10" spans="1:12" ht="15" hidden="1">
      <c r="A10" s="54" t="s">
        <v>82</v>
      </c>
      <c r="B10" s="32"/>
      <c r="C10" s="32"/>
      <c r="D10" s="32"/>
      <c r="E10" s="32"/>
      <c r="F10" s="32"/>
      <c r="G10" s="32"/>
      <c r="H10" s="62"/>
      <c r="I10" s="58"/>
      <c r="J10" s="64"/>
      <c r="K10" s="65"/>
      <c r="L10" s="54"/>
    </row>
    <row r="11" spans="1:12" ht="15" hidden="1" outlineLevel="1">
      <c r="A11" s="54" t="s">
        <v>83</v>
      </c>
      <c r="B11" s="59"/>
      <c r="C11" s="32"/>
      <c r="D11" s="32"/>
      <c r="E11" s="32"/>
      <c r="F11" s="32"/>
      <c r="G11" s="32"/>
      <c r="H11" s="54"/>
      <c r="I11" s="58"/>
      <c r="J11" s="54"/>
      <c r="K11" s="66"/>
      <c r="L11" s="54"/>
    </row>
    <row r="12" spans="1:12" ht="15" hidden="1" outlineLevel="1">
      <c r="A12" s="54"/>
      <c r="B12" s="59"/>
      <c r="C12" s="32"/>
      <c r="D12" s="32"/>
      <c r="E12" s="32"/>
      <c r="F12" s="32"/>
      <c r="G12" s="32"/>
      <c r="H12" s="54"/>
      <c r="I12" s="54"/>
      <c r="J12" s="54"/>
      <c r="K12" s="66"/>
      <c r="L12" s="54"/>
    </row>
    <row r="13" spans="1:12" ht="15" hidden="1" outlineLevel="1">
      <c r="A13" s="54"/>
      <c r="B13" s="54"/>
      <c r="C13" s="54"/>
      <c r="D13" s="54"/>
      <c r="E13" s="54"/>
      <c r="F13" s="54"/>
      <c r="G13" s="54"/>
      <c r="H13" s="58"/>
      <c r="I13" s="54"/>
      <c r="J13" s="54"/>
      <c r="K13" s="66"/>
      <c r="L13" s="54"/>
    </row>
    <row r="14" spans="1:12" ht="15" outlineLevel="1" collapsed="1">
      <c r="A14" s="67" t="s">
        <v>22</v>
      </c>
      <c r="B14" s="59"/>
      <c r="C14" s="32"/>
      <c r="D14" s="32"/>
      <c r="E14" s="32"/>
      <c r="F14" s="32"/>
      <c r="G14" s="32"/>
      <c r="H14" s="61"/>
      <c r="I14" s="54"/>
      <c r="J14" s="64"/>
      <c r="K14" s="65" t="s">
        <v>57</v>
      </c>
      <c r="L14" s="54"/>
    </row>
    <row r="15" spans="1:12" ht="15" outlineLevel="1">
      <c r="A15" s="54" t="s">
        <v>58</v>
      </c>
      <c r="B15" s="59"/>
      <c r="C15" s="32">
        <f>PMT(J18,H18,B18)</f>
        <v>-109.87718835395654</v>
      </c>
      <c r="D15" s="32">
        <f>C15</f>
        <v>-109.87718835395654</v>
      </c>
      <c r="E15" s="32">
        <f>D15</f>
        <v>-109.87718835395654</v>
      </c>
      <c r="F15" s="32">
        <f>E15</f>
        <v>-109.87718835395654</v>
      </c>
      <c r="G15" s="32">
        <f>F15</f>
        <v>-109.87718835395654</v>
      </c>
      <c r="H15" s="61"/>
      <c r="I15" s="54"/>
      <c r="J15" s="64"/>
      <c r="K15" s="65"/>
      <c r="L15" s="54"/>
    </row>
    <row r="16" spans="1:12" ht="15" outlineLevel="1">
      <c r="A16" s="54" t="s">
        <v>10</v>
      </c>
      <c r="B16" s="59"/>
      <c r="C16" s="32">
        <f>-B18*$J$18</f>
        <v>-76</v>
      </c>
      <c r="D16" s="32">
        <f>-C18*$J$18</f>
        <v>-74.64491246584174</v>
      </c>
      <c r="E16" s="32">
        <f>-D18*$J$18</f>
        <v>-73.23562143031714</v>
      </c>
      <c r="F16" s="32">
        <f>-E18*$J$18</f>
        <v>-71.76995875337157</v>
      </c>
      <c r="G16" s="32">
        <f>-F18*$J$18</f>
        <v>-70.24566956934817</v>
      </c>
      <c r="H16" s="61"/>
      <c r="I16" s="54"/>
      <c r="J16" s="64"/>
      <c r="K16" s="65"/>
      <c r="L16" s="54"/>
    </row>
    <row r="17" spans="1:12" ht="15" outlineLevel="1">
      <c r="A17" s="54" t="s">
        <v>9</v>
      </c>
      <c r="B17" s="59"/>
      <c r="C17" s="32">
        <f>C15-C16</f>
        <v>-33.87718835395654</v>
      </c>
      <c r="D17" s="32">
        <f>D15-D16</f>
        <v>-35.2322758881148</v>
      </c>
      <c r="E17" s="32">
        <f>E15-E16</f>
        <v>-36.6415669236394</v>
      </c>
      <c r="F17" s="32">
        <f>F15-F16</f>
        <v>-38.10722960058497</v>
      </c>
      <c r="G17" s="32">
        <f>G15-G16</f>
        <v>-39.631518784608375</v>
      </c>
      <c r="H17" s="62"/>
      <c r="I17" s="54"/>
      <c r="J17" s="64"/>
      <c r="K17" s="65"/>
      <c r="L17" s="54"/>
    </row>
    <row r="18" spans="1:12" ht="15" outlineLevel="1">
      <c r="A18" s="54" t="s">
        <v>59</v>
      </c>
      <c r="B18" s="59">
        <v>1900</v>
      </c>
      <c r="C18" s="32">
        <f>B18+C17</f>
        <v>1866.1228116460434</v>
      </c>
      <c r="D18" s="32">
        <f>C18+D17</f>
        <v>1830.8905357579285</v>
      </c>
      <c r="E18" s="32">
        <f>D18+E17</f>
        <v>1794.2489688342891</v>
      </c>
      <c r="F18" s="32">
        <f>E18+F17</f>
        <v>1756.1417392337041</v>
      </c>
      <c r="G18" s="32">
        <f>F18+G17</f>
        <v>1716.5102204490959</v>
      </c>
      <c r="H18" s="61">
        <v>30</v>
      </c>
      <c r="I18" s="54"/>
      <c r="J18" s="60">
        <v>0.04</v>
      </c>
      <c r="K18" s="65"/>
      <c r="L18" s="54"/>
    </row>
    <row r="19" spans="1:12" ht="15" outlineLevel="1">
      <c r="A19" s="67" t="s">
        <v>21</v>
      </c>
      <c r="B19" s="32"/>
      <c r="C19" s="32"/>
      <c r="D19" s="32"/>
      <c r="E19" s="32"/>
      <c r="F19" s="32"/>
      <c r="G19" s="32"/>
      <c r="H19" s="61"/>
      <c r="I19" s="54"/>
      <c r="J19" s="64"/>
      <c r="K19" s="65" t="s">
        <v>60</v>
      </c>
      <c r="L19" s="54"/>
    </row>
    <row r="20" spans="1:12" ht="15" outlineLevel="1">
      <c r="A20" s="54" t="s">
        <v>9</v>
      </c>
      <c r="B20" s="32"/>
      <c r="C20" s="32">
        <f>-B21/H21</f>
        <v>-50</v>
      </c>
      <c r="D20" s="32">
        <f>C20</f>
        <v>-50</v>
      </c>
      <c r="E20" s="32">
        <f>D20</f>
        <v>-50</v>
      </c>
      <c r="F20" s="32">
        <f>E20</f>
        <v>-50</v>
      </c>
      <c r="G20" s="32">
        <f>F20</f>
        <v>-50</v>
      </c>
      <c r="H20" s="62"/>
      <c r="I20" s="54"/>
      <c r="J20" s="64"/>
      <c r="K20" s="65"/>
      <c r="L20" s="54"/>
    </row>
    <row r="21" spans="1:12" ht="15" outlineLevel="1">
      <c r="A21" s="54" t="s">
        <v>59</v>
      </c>
      <c r="B21" s="59">
        <v>500</v>
      </c>
      <c r="C21" s="32">
        <f>B21+C20</f>
        <v>450</v>
      </c>
      <c r="D21" s="32">
        <f>C21+D20</f>
        <v>400</v>
      </c>
      <c r="E21" s="32">
        <f>D21+E20</f>
        <v>350</v>
      </c>
      <c r="F21" s="32">
        <f>E21+F20</f>
        <v>300</v>
      </c>
      <c r="G21" s="32">
        <f>F21+G20</f>
        <v>250</v>
      </c>
      <c r="H21" s="61">
        <v>10</v>
      </c>
      <c r="I21" s="54"/>
      <c r="J21" s="60">
        <v>0.05</v>
      </c>
      <c r="K21" s="65"/>
      <c r="L21" s="54"/>
    </row>
    <row r="22" spans="1:12" ht="15" outlineLevel="1">
      <c r="A22" s="54" t="s">
        <v>10</v>
      </c>
      <c r="B22" s="32"/>
      <c r="C22" s="32">
        <f>-B21*$J$21</f>
        <v>-25</v>
      </c>
      <c r="D22" s="32">
        <f>-C21*$J$21</f>
        <v>-22.5</v>
      </c>
      <c r="E22" s="32">
        <f>-D21*$J$21</f>
        <v>-20</v>
      </c>
      <c r="F22" s="32">
        <f>-E21*$J$21</f>
        <v>-17.5</v>
      </c>
      <c r="G22" s="32">
        <f>-F21*$J$21</f>
        <v>-15</v>
      </c>
      <c r="H22" s="61"/>
      <c r="I22" s="54"/>
      <c r="J22" s="64"/>
      <c r="K22" s="65"/>
      <c r="L22" s="54"/>
    </row>
    <row r="23" spans="1:12" ht="15" outlineLevel="1">
      <c r="A23" s="67" t="s">
        <v>56</v>
      </c>
      <c r="B23" s="32"/>
      <c r="C23" s="32"/>
      <c r="D23" s="32"/>
      <c r="E23" s="32"/>
      <c r="F23" s="32"/>
      <c r="G23" s="32"/>
      <c r="H23" s="61"/>
      <c r="I23" s="54"/>
      <c r="J23" s="64"/>
      <c r="K23" s="65"/>
      <c r="L23" s="54"/>
    </row>
    <row r="24" spans="1:12" ht="15" outlineLevel="1">
      <c r="A24" s="54" t="s">
        <v>10</v>
      </c>
      <c r="B24" s="54"/>
      <c r="C24" s="32">
        <f>-B25*J25</f>
        <v>-12</v>
      </c>
      <c r="D24" s="32">
        <f>C24</f>
        <v>-12</v>
      </c>
      <c r="E24" s="32">
        <f>D24</f>
        <v>-12</v>
      </c>
      <c r="F24" s="32">
        <f>E24</f>
        <v>-12</v>
      </c>
      <c r="G24" s="32">
        <f>F24</f>
        <v>-12</v>
      </c>
      <c r="H24" s="61"/>
      <c r="I24" s="54"/>
      <c r="J24" s="64"/>
      <c r="K24" s="65"/>
      <c r="L24" s="54"/>
    </row>
    <row r="25" spans="1:12" ht="15" outlineLevel="1">
      <c r="A25" s="98" t="s">
        <v>59</v>
      </c>
      <c r="B25" s="104">
        <v>200</v>
      </c>
      <c r="C25" s="103"/>
      <c r="D25" s="103"/>
      <c r="E25" s="103"/>
      <c r="F25" s="103"/>
      <c r="G25" s="105">
        <f>B25</f>
        <v>200</v>
      </c>
      <c r="H25" s="61"/>
      <c r="I25" s="54"/>
      <c r="J25" s="60">
        <v>0.06</v>
      </c>
      <c r="K25" s="65"/>
      <c r="L25" s="54"/>
    </row>
    <row r="26" spans="1:13" ht="15">
      <c r="A26" s="67" t="s">
        <v>61</v>
      </c>
      <c r="B26" s="32"/>
      <c r="C26" s="32">
        <f>C16+C22+C24</f>
        <v>-113</v>
      </c>
      <c r="D26" s="32">
        <f>D16+D22+D24</f>
        <v>-109.14491246584174</v>
      </c>
      <c r="E26" s="32">
        <f>E16+E22+E24</f>
        <v>-105.23562143031714</v>
      </c>
      <c r="F26" s="32">
        <f>F16+F22+F24</f>
        <v>-101.26995875337157</v>
      </c>
      <c r="G26" s="32">
        <f>G16+G22+G24</f>
        <v>-97.24566956934817</v>
      </c>
      <c r="H26" s="62"/>
      <c r="I26" s="54"/>
      <c r="J26" s="60"/>
      <c r="K26" s="66"/>
      <c r="L26" s="54"/>
      <c r="M26" s="167">
        <f>SUM(C26:L26)</f>
        <v>-525.8961622188787</v>
      </c>
    </row>
    <row r="27" spans="1:15" ht="15">
      <c r="A27" s="106" t="s">
        <v>62</v>
      </c>
      <c r="B27" s="103"/>
      <c r="C27" s="103">
        <f>C17+C20</f>
        <v>-83.87718835395654</v>
      </c>
      <c r="D27" s="103">
        <f>D17+D20</f>
        <v>-85.2322758881148</v>
      </c>
      <c r="E27" s="103">
        <f>E17+E20</f>
        <v>-86.6415669236394</v>
      </c>
      <c r="F27" s="103">
        <f>F17+F20</f>
        <v>-88.10722960058497</v>
      </c>
      <c r="G27" s="103">
        <f>G17+G20</f>
        <v>-89.63151878460837</v>
      </c>
      <c r="H27" s="62"/>
      <c r="I27" s="54"/>
      <c r="J27" s="60"/>
      <c r="K27" s="66"/>
      <c r="L27" s="54"/>
      <c r="M27" s="167">
        <f>SUM(C27:L27)</f>
        <v>-433.4897795509041</v>
      </c>
      <c r="N27" s="167">
        <f>M26-M27</f>
        <v>-92.40638266797458</v>
      </c>
      <c r="O27">
        <f>N27*J35</f>
        <v>-24.94972332035314</v>
      </c>
    </row>
    <row r="28" spans="1:12" ht="15">
      <c r="A28" s="54" t="s">
        <v>63</v>
      </c>
      <c r="B28" s="32">
        <f>SUM(B9:B27)</f>
        <v>-424</v>
      </c>
      <c r="C28" s="32">
        <f>C9+C26+C27</f>
        <v>-119.35718835395654</v>
      </c>
      <c r="D28" s="32">
        <f>D9+D26+D27</f>
        <v>-115.30678835395653</v>
      </c>
      <c r="E28" s="32">
        <f>E9+E26+E27</f>
        <v>-111.22538035395654</v>
      </c>
      <c r="F28" s="32">
        <f>F9+F26+F27</f>
        <v>-107.11234419395655</v>
      </c>
      <c r="G28" s="32">
        <f>G9-G18-G21-G25+G26+G27</f>
        <v>1442.1467296801484</v>
      </c>
      <c r="H28" s="62"/>
      <c r="I28" s="54"/>
      <c r="J28" s="60"/>
      <c r="K28" s="65" t="s">
        <v>64</v>
      </c>
      <c r="L28" s="54"/>
    </row>
    <row r="29" spans="1:12" ht="15" outlineLevel="1">
      <c r="A29" s="54" t="s">
        <v>65</v>
      </c>
      <c r="B29" s="32"/>
      <c r="C29" s="32"/>
      <c r="D29" s="32"/>
      <c r="E29" s="32"/>
      <c r="F29" s="32"/>
      <c r="G29" s="32"/>
      <c r="H29" s="62"/>
      <c r="I29" s="54"/>
      <c r="J29" s="60"/>
      <c r="K29" s="66"/>
      <c r="L29" s="54"/>
    </row>
    <row r="30" spans="1:12" ht="15" outlineLevel="1">
      <c r="A30" s="67" t="s">
        <v>66</v>
      </c>
      <c r="B30" s="32"/>
      <c r="C30" s="32"/>
      <c r="D30" s="32"/>
      <c r="E30" s="32"/>
      <c r="F30" s="32"/>
      <c r="G30" s="32">
        <f>G5+G6+B5+B6</f>
        <v>611.623997440001</v>
      </c>
      <c r="H30" s="62"/>
      <c r="I30" s="54"/>
      <c r="J30" s="60"/>
      <c r="K30" s="66"/>
      <c r="L30" s="54"/>
    </row>
    <row r="31" spans="1:12" ht="15" outlineLevel="1">
      <c r="A31" s="54" t="s">
        <v>67</v>
      </c>
      <c r="B31" s="32"/>
      <c r="C31" s="32"/>
      <c r="D31" s="32"/>
      <c r="E31" s="32"/>
      <c r="F31" s="32"/>
      <c r="G31" s="32">
        <f>-G30*I31*J35*J33</f>
        <v>-110.09231953920018</v>
      </c>
      <c r="H31" s="62"/>
      <c r="I31" s="58">
        <v>1</v>
      </c>
      <c r="J31" s="54"/>
      <c r="K31" s="68"/>
      <c r="L31" s="54"/>
    </row>
    <row r="32" spans="1:12" ht="15" outlineLevel="1">
      <c r="A32" s="54" t="s">
        <v>68</v>
      </c>
      <c r="B32" s="32"/>
      <c r="C32" s="32">
        <f>-C26*$I$32*$J$35</f>
        <v>30.51</v>
      </c>
      <c r="D32" s="32">
        <f>-D26*$I$32*$J$35</f>
        <v>29.46912636577727</v>
      </c>
      <c r="E32" s="32">
        <f>-E26*$I$32*$J$35</f>
        <v>28.41361778618563</v>
      </c>
      <c r="F32" s="32">
        <f>-F26*$I$32*$J$35</f>
        <v>27.342888863410327</v>
      </c>
      <c r="G32" s="32">
        <f>-G26*$I$32*$J$35</f>
        <v>26.256330783724007</v>
      </c>
      <c r="H32" s="54"/>
      <c r="I32" s="61">
        <v>1</v>
      </c>
      <c r="J32" s="60"/>
      <c r="K32" s="66"/>
      <c r="L32" s="54"/>
    </row>
    <row r="33" spans="1:12" ht="15" outlineLevel="1">
      <c r="A33" s="67" t="s">
        <v>69</v>
      </c>
      <c r="B33" s="32">
        <f aca="true" t="shared" si="1" ref="B33:G33">B7+(B8*$J$33)</f>
        <v>98.66666666666667</v>
      </c>
      <c r="C33" s="32">
        <f t="shared" si="1"/>
        <v>100.64</v>
      </c>
      <c r="D33" s="32">
        <f t="shared" si="1"/>
        <v>102.65280000000001</v>
      </c>
      <c r="E33" s="32">
        <f t="shared" si="1"/>
        <v>104.70585600000001</v>
      </c>
      <c r="F33" s="32">
        <f t="shared" si="1"/>
        <v>106.79997312</v>
      </c>
      <c r="G33" s="32">
        <f t="shared" si="1"/>
        <v>108.93597258240001</v>
      </c>
      <c r="H33" s="54"/>
      <c r="I33" s="61"/>
      <c r="J33" s="69">
        <f>I7/(I7+1)</f>
        <v>0.6666666666666666</v>
      </c>
      <c r="K33" s="70"/>
      <c r="L33" s="54"/>
    </row>
    <row r="34" spans="1:12" ht="15" outlineLevel="1">
      <c r="A34" s="54" t="s">
        <v>70</v>
      </c>
      <c r="B34" s="32">
        <f aca="true" t="shared" si="2" ref="B34:G34">-B33*$I$31*$J$35</f>
        <v>-26.640000000000004</v>
      </c>
      <c r="C34" s="32">
        <f t="shared" si="2"/>
        <v>-27.172800000000002</v>
      </c>
      <c r="D34" s="32">
        <f t="shared" si="2"/>
        <v>-27.716256000000005</v>
      </c>
      <c r="E34" s="32">
        <f t="shared" si="2"/>
        <v>-28.270581120000006</v>
      </c>
      <c r="F34" s="32">
        <f t="shared" si="2"/>
        <v>-28.835992742400002</v>
      </c>
      <c r="G34" s="32">
        <f t="shared" si="2"/>
        <v>-29.412712597248007</v>
      </c>
      <c r="H34" s="54"/>
      <c r="I34" s="61"/>
      <c r="J34" s="60"/>
      <c r="K34" s="66"/>
      <c r="L34" s="54"/>
    </row>
    <row r="35" spans="1:12" ht="15">
      <c r="A35" s="98" t="s">
        <v>71</v>
      </c>
      <c r="B35" s="103">
        <f>B32+B34</f>
        <v>-26.640000000000004</v>
      </c>
      <c r="C35" s="103">
        <f>C32+C34</f>
        <v>3.3371999999999993</v>
      </c>
      <c r="D35" s="103">
        <f>D32+D34</f>
        <v>1.752870365777266</v>
      </c>
      <c r="E35" s="103">
        <f>E32+E34</f>
        <v>0.1430366661856226</v>
      </c>
      <c r="F35" s="103">
        <f>F32+F34</f>
        <v>-1.4931038789896753</v>
      </c>
      <c r="G35" s="103">
        <f>G31+G32+G34</f>
        <v>-113.24870135272417</v>
      </c>
      <c r="H35" s="54"/>
      <c r="I35" s="61"/>
      <c r="J35" s="71">
        <v>0.27</v>
      </c>
      <c r="K35" s="66"/>
      <c r="L35" s="54"/>
    </row>
    <row r="36" spans="1:12" ht="15">
      <c r="A36" s="54" t="s">
        <v>81</v>
      </c>
      <c r="B36" s="32">
        <f aca="true" t="shared" si="3" ref="B36:G36">B28+B35</f>
        <v>-450.64</v>
      </c>
      <c r="C36" s="32">
        <f t="shared" si="3"/>
        <v>-116.01998835395655</v>
      </c>
      <c r="D36" s="32">
        <f t="shared" si="3"/>
        <v>-113.55391798817926</v>
      </c>
      <c r="E36" s="32">
        <f t="shared" si="3"/>
        <v>-111.08234368777092</v>
      </c>
      <c r="F36" s="32">
        <f t="shared" si="3"/>
        <v>-108.60544807294622</v>
      </c>
      <c r="G36" s="32">
        <f t="shared" si="3"/>
        <v>1328.8980283274243</v>
      </c>
      <c r="H36" s="62"/>
      <c r="I36" s="54"/>
      <c r="J36" s="54"/>
      <c r="K36" s="57" t="s">
        <v>72</v>
      </c>
      <c r="L36" s="64">
        <f>IRR(B36:G36)</f>
        <v>0.10597930056698934</v>
      </c>
    </row>
    <row r="37" spans="1:12" ht="15">
      <c r="A37" s="98" t="s">
        <v>73</v>
      </c>
      <c r="B37" s="103">
        <f>-H37*12/1000</f>
        <v>-84</v>
      </c>
      <c r="C37" s="103">
        <f>B37*(1+$J$7)</f>
        <v>-85.68</v>
      </c>
      <c r="D37" s="103">
        <f>C37*(1+$J$7)</f>
        <v>-87.3936</v>
      </c>
      <c r="E37" s="103">
        <f>D37*(1+$J$7)</f>
        <v>-89.14147200000001</v>
      </c>
      <c r="F37" s="103">
        <f>E37*(1+$J$7)</f>
        <v>-90.92430144000001</v>
      </c>
      <c r="G37" s="103">
        <f>F37*(1+$J$7)</f>
        <v>-92.7427874688</v>
      </c>
      <c r="H37" s="61">
        <v>7000</v>
      </c>
      <c r="I37" s="54"/>
      <c r="J37" s="69"/>
      <c r="K37" s="57"/>
      <c r="L37" s="54"/>
    </row>
    <row r="38" spans="1:12" ht="15.75" thickBot="1">
      <c r="A38" s="101" t="s">
        <v>74</v>
      </c>
      <c r="B38" s="102">
        <f aca="true" t="shared" si="4" ref="B38:G38">B36-B37</f>
        <v>-366.64</v>
      </c>
      <c r="C38" s="102">
        <f t="shared" si="4"/>
        <v>-30.339988353956542</v>
      </c>
      <c r="D38" s="102">
        <f t="shared" si="4"/>
        <v>-26.16031798817926</v>
      </c>
      <c r="E38" s="102">
        <f t="shared" si="4"/>
        <v>-21.94087168777091</v>
      </c>
      <c r="F38" s="102">
        <f t="shared" si="4"/>
        <v>-17.68114663294621</v>
      </c>
      <c r="G38" s="102">
        <f t="shared" si="4"/>
        <v>1421.6408157962244</v>
      </c>
      <c r="H38" s="62"/>
      <c r="I38" s="54"/>
      <c r="J38" s="54"/>
      <c r="K38" s="70" t="s">
        <v>75</v>
      </c>
      <c r="L38" s="54"/>
    </row>
    <row r="39" spans="1:12" ht="15.75" thickTop="1">
      <c r="A39" s="54"/>
      <c r="B39" s="72"/>
      <c r="C39" s="72"/>
      <c r="D39" s="72"/>
      <c r="E39" s="72"/>
      <c r="F39" s="72"/>
      <c r="G39" s="72"/>
      <c r="H39" s="54"/>
      <c r="I39" s="54"/>
      <c r="J39" s="54"/>
      <c r="K39" s="54"/>
      <c r="L39" s="54"/>
    </row>
    <row r="40" spans="1:12" ht="15">
      <c r="A40" s="54" t="s">
        <v>76</v>
      </c>
      <c r="B40" s="54"/>
      <c r="C40" s="72"/>
      <c r="D40" s="72"/>
      <c r="E40" s="72"/>
      <c r="F40" s="72"/>
      <c r="G40" s="72"/>
      <c r="H40" s="54"/>
      <c r="I40" s="54"/>
      <c r="J40" s="64"/>
      <c r="K40" s="64"/>
      <c r="L40" s="54"/>
    </row>
    <row r="41" spans="1:12" ht="15">
      <c r="A41" s="54" t="s">
        <v>77</v>
      </c>
      <c r="B41" s="58">
        <v>18</v>
      </c>
      <c r="C41" s="96" t="s">
        <v>101</v>
      </c>
      <c r="D41" s="72"/>
      <c r="E41" s="72"/>
      <c r="F41" s="72"/>
      <c r="G41" s="72"/>
      <c r="H41" s="54" t="s">
        <v>102</v>
      </c>
      <c r="I41" s="54"/>
      <c r="J41" s="64"/>
      <c r="K41" s="64"/>
      <c r="L41" s="54"/>
    </row>
    <row r="42" spans="1:13" ht="15">
      <c r="A42" s="54" t="s">
        <v>78</v>
      </c>
      <c r="B42" s="58">
        <v>10</v>
      </c>
      <c r="C42" s="97" t="str">
        <f aca="true" t="shared" si="5" ref="C42:C47">C41</f>
        <v>tusen kr/år</v>
      </c>
      <c r="D42" s="54"/>
      <c r="E42" s="54"/>
      <c r="F42" s="72"/>
      <c r="G42" s="54"/>
      <c r="H42" s="166" t="s">
        <v>17</v>
      </c>
      <c r="I42" s="166"/>
      <c r="J42" s="166"/>
      <c r="K42" s="166"/>
      <c r="L42" s="166"/>
      <c r="M42" s="166"/>
    </row>
    <row r="43" spans="1:13" ht="15">
      <c r="A43" s="54" t="s">
        <v>46</v>
      </c>
      <c r="B43" s="58">
        <v>15</v>
      </c>
      <c r="C43" s="97" t="str">
        <f t="shared" si="5"/>
        <v>tusen kr/år</v>
      </c>
      <c r="D43" s="54"/>
      <c r="E43" s="54"/>
      <c r="F43" s="54"/>
      <c r="G43" s="54"/>
      <c r="H43" s="69">
        <v>0</v>
      </c>
      <c r="I43" s="69">
        <v>0.1</v>
      </c>
      <c r="J43" s="69">
        <v>0.2</v>
      </c>
      <c r="K43" s="69">
        <v>0.3</v>
      </c>
      <c r="L43" s="69">
        <v>0.4</v>
      </c>
      <c r="M43" s="69">
        <v>0.5</v>
      </c>
    </row>
    <row r="44" spans="1:13" ht="15.75" thickBot="1">
      <c r="A44" s="54" t="s">
        <v>79</v>
      </c>
      <c r="B44" s="58">
        <v>10</v>
      </c>
      <c r="C44" s="97" t="str">
        <f t="shared" si="5"/>
        <v>tusen kr/år</v>
      </c>
      <c r="D44" s="54"/>
      <c r="E44" s="54"/>
      <c r="F44" s="54"/>
      <c r="G44" s="54"/>
      <c r="H44" s="124">
        <f>NPV(H43,$B$38:$G$38)*(1+H43)</f>
        <v>958.8784911333714</v>
      </c>
      <c r="I44" s="124">
        <f>NPV(I43,$B$38:$G$38)*(1+I43)</f>
        <v>438.32422845340034</v>
      </c>
      <c r="J44" s="124">
        <f>NPV(J43,$B$38:$G$38)*(1+J43)</f>
        <v>140.01129696821982</v>
      </c>
      <c r="K44" s="124">
        <f>NPV(K43,$B$38:$G$38)*(1+K43)</f>
        <v>-38.74612840444178</v>
      </c>
      <c r="L44" s="124">
        <f>NPV(L43,$B$38:$G$38)*(1+L43)</f>
        <v>-149.92503559120723</v>
      </c>
      <c r="M44" s="124">
        <f>NPV(M43,$B$38:$G$38)*(1+M43)</f>
        <v>-221.27507880858462</v>
      </c>
    </row>
    <row r="45" spans="1:12" ht="15.75" thickTop="1">
      <c r="A45" s="54" t="s">
        <v>79</v>
      </c>
      <c r="B45" s="58">
        <v>10</v>
      </c>
      <c r="C45" s="97" t="str">
        <f t="shared" si="5"/>
        <v>tusen kr/år</v>
      </c>
      <c r="D45" s="54"/>
      <c r="E45" s="54"/>
      <c r="F45" s="54"/>
      <c r="G45" s="54"/>
      <c r="H45" s="54"/>
      <c r="I45" s="54"/>
      <c r="J45" s="54"/>
      <c r="K45" s="54"/>
      <c r="L45" s="54"/>
    </row>
    <row r="46" spans="1:12" ht="15">
      <c r="A46" s="98" t="s">
        <v>80</v>
      </c>
      <c r="B46" s="99">
        <v>5</v>
      </c>
      <c r="C46" s="100" t="str">
        <f t="shared" si="5"/>
        <v>tusen kr/år</v>
      </c>
      <c r="D46" s="54"/>
      <c r="E46" s="54"/>
      <c r="F46" s="69"/>
      <c r="G46" s="69"/>
      <c r="H46" s="69"/>
      <c r="I46" s="69"/>
      <c r="J46" s="69"/>
      <c r="K46" s="69"/>
      <c r="L46" s="54"/>
    </row>
    <row r="47" spans="1:12" ht="15">
      <c r="A47" s="54" t="s">
        <v>18</v>
      </c>
      <c r="B47" s="54">
        <f>SUM(B41:B46)</f>
        <v>68</v>
      </c>
      <c r="C47" s="97" t="str">
        <f t="shared" si="5"/>
        <v>tusen kr/år</v>
      </c>
      <c r="D47" s="58"/>
      <c r="E47" s="54"/>
      <c r="F47" s="62"/>
      <c r="G47" s="62"/>
      <c r="H47" s="62"/>
      <c r="I47" s="62"/>
      <c r="J47" s="62"/>
      <c r="K47" s="62"/>
      <c r="L47" s="54"/>
    </row>
  </sheetData>
  <sheetProtection/>
  <mergeCells count="2">
    <mergeCell ref="C2:G2"/>
    <mergeCell ref="H42:M4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="140" zoomScaleNormal="140" zoomScalePageLayoutView="0" workbookViewId="0" topLeftCell="A8">
      <selection activeCell="R30" sqref="R30"/>
    </sheetView>
  </sheetViews>
  <sheetFormatPr defaultColWidth="9.140625" defaultRowHeight="12.75" outlineLevelRow="1" outlineLevelCol="1"/>
  <cols>
    <col min="1" max="1" width="20.28125" style="0" customWidth="1"/>
    <col min="2" max="2" width="14.140625" style="0" customWidth="1"/>
    <col min="3" max="7" width="9.140625" style="0" customWidth="1"/>
    <col min="8" max="15" width="0" style="0" hidden="1" customWidth="1" outlineLevel="1"/>
    <col min="16" max="16" width="9.140625" style="0" customWidth="1" collapsed="1"/>
  </cols>
  <sheetData>
    <row r="1" spans="1:18" ht="15">
      <c r="A1" s="73" t="s">
        <v>45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ht="15">
      <c r="A2" s="75"/>
      <c r="B2" s="75"/>
      <c r="C2" s="75"/>
      <c r="D2" s="75"/>
      <c r="E2" s="75"/>
      <c r="F2" s="161" t="s">
        <v>37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75"/>
      <c r="R2" s="76"/>
    </row>
    <row r="3" spans="1:18" ht="15">
      <c r="A3" s="75"/>
      <c r="B3" s="77" t="s">
        <v>84</v>
      </c>
      <c r="C3" s="75"/>
      <c r="D3" s="77" t="s">
        <v>85</v>
      </c>
      <c r="E3" s="75"/>
      <c r="F3" s="73">
        <v>2016</v>
      </c>
      <c r="G3" s="75">
        <f aca="true" t="shared" si="0" ref="G3:P3">F3+1</f>
        <v>2017</v>
      </c>
      <c r="H3" s="75">
        <f t="shared" si="0"/>
        <v>2018</v>
      </c>
      <c r="I3" s="75">
        <f t="shared" si="0"/>
        <v>2019</v>
      </c>
      <c r="J3" s="75">
        <f t="shared" si="0"/>
        <v>2020</v>
      </c>
      <c r="K3" s="75">
        <f t="shared" si="0"/>
        <v>2021</v>
      </c>
      <c r="L3" s="75">
        <f t="shared" si="0"/>
        <v>2022</v>
      </c>
      <c r="M3" s="75">
        <f t="shared" si="0"/>
        <v>2023</v>
      </c>
      <c r="N3" s="75">
        <f t="shared" si="0"/>
        <v>2024</v>
      </c>
      <c r="O3" s="75">
        <f t="shared" si="0"/>
        <v>2025</v>
      </c>
      <c r="P3" s="75">
        <f t="shared" si="0"/>
        <v>2026</v>
      </c>
      <c r="Q3" s="75"/>
      <c r="R3" s="76"/>
    </row>
    <row r="4" spans="1:18" ht="15">
      <c r="A4" s="74" t="s">
        <v>86</v>
      </c>
      <c r="B4" s="78">
        <v>10000</v>
      </c>
      <c r="C4" s="79" t="s">
        <v>87</v>
      </c>
      <c r="D4" s="78">
        <v>15000</v>
      </c>
      <c r="E4" s="79" t="s">
        <v>88</v>
      </c>
      <c r="F4" s="78"/>
      <c r="G4" s="80">
        <f aca="true" t="shared" si="1" ref="G4:P4">$D$4*$B$4/1000000</f>
        <v>150</v>
      </c>
      <c r="H4" s="75">
        <f t="shared" si="1"/>
        <v>150</v>
      </c>
      <c r="I4" s="75">
        <f t="shared" si="1"/>
        <v>150</v>
      </c>
      <c r="J4" s="75">
        <f t="shared" si="1"/>
        <v>150</v>
      </c>
      <c r="K4" s="75">
        <f t="shared" si="1"/>
        <v>150</v>
      </c>
      <c r="L4" s="75">
        <f t="shared" si="1"/>
        <v>150</v>
      </c>
      <c r="M4" s="75">
        <f t="shared" si="1"/>
        <v>150</v>
      </c>
      <c r="N4" s="75">
        <f t="shared" si="1"/>
        <v>150</v>
      </c>
      <c r="O4" s="75">
        <f t="shared" si="1"/>
        <v>150</v>
      </c>
      <c r="P4" s="75">
        <f t="shared" si="1"/>
        <v>150</v>
      </c>
      <c r="Q4" s="73" t="s">
        <v>89</v>
      </c>
      <c r="R4" s="76"/>
    </row>
    <row r="5" spans="1:18" ht="15">
      <c r="A5" s="74" t="s">
        <v>90</v>
      </c>
      <c r="B5" s="78">
        <v>20000</v>
      </c>
      <c r="C5" s="79" t="s">
        <v>87</v>
      </c>
      <c r="D5" s="78">
        <v>2500</v>
      </c>
      <c r="E5" s="79" t="s">
        <v>88</v>
      </c>
      <c r="F5" s="78"/>
      <c r="G5" s="80">
        <f aca="true" t="shared" si="2" ref="G5:P5">-$D$5*$B$5/1000000</f>
        <v>-50</v>
      </c>
      <c r="H5" s="75">
        <f t="shared" si="2"/>
        <v>-50</v>
      </c>
      <c r="I5" s="75">
        <f t="shared" si="2"/>
        <v>-50</v>
      </c>
      <c r="J5" s="75">
        <f t="shared" si="2"/>
        <v>-50</v>
      </c>
      <c r="K5" s="75">
        <f t="shared" si="2"/>
        <v>-50</v>
      </c>
      <c r="L5" s="75">
        <f t="shared" si="2"/>
        <v>-50</v>
      </c>
      <c r="M5" s="75">
        <f t="shared" si="2"/>
        <v>-50</v>
      </c>
      <c r="N5" s="75">
        <f t="shared" si="2"/>
        <v>-50</v>
      </c>
      <c r="O5" s="75">
        <f t="shared" si="2"/>
        <v>-50</v>
      </c>
      <c r="P5" s="75">
        <f t="shared" si="2"/>
        <v>-50</v>
      </c>
      <c r="Q5" s="75" t="s">
        <v>91</v>
      </c>
      <c r="R5" s="76"/>
    </row>
    <row r="6" spans="1:18" ht="15">
      <c r="A6" s="75" t="s">
        <v>46</v>
      </c>
      <c r="B6" s="78">
        <v>145000000</v>
      </c>
      <c r="C6" s="81" t="s">
        <v>92</v>
      </c>
      <c r="D6" s="82">
        <v>0.35</v>
      </c>
      <c r="E6" s="83" t="s">
        <v>93</v>
      </c>
      <c r="F6" s="78"/>
      <c r="G6" s="80">
        <f aca="true" t="shared" si="3" ref="G6:P6">-$D$6*$B$6/1000000</f>
        <v>-50.75</v>
      </c>
      <c r="H6" s="80">
        <f t="shared" si="3"/>
        <v>-50.75</v>
      </c>
      <c r="I6" s="80">
        <f t="shared" si="3"/>
        <v>-50.75</v>
      </c>
      <c r="J6" s="80">
        <f t="shared" si="3"/>
        <v>-50.75</v>
      </c>
      <c r="K6" s="80">
        <f t="shared" si="3"/>
        <v>-50.75</v>
      </c>
      <c r="L6" s="80">
        <f t="shared" si="3"/>
        <v>-50.75</v>
      </c>
      <c r="M6" s="80">
        <f t="shared" si="3"/>
        <v>-50.75</v>
      </c>
      <c r="N6" s="80">
        <f t="shared" si="3"/>
        <v>-50.75</v>
      </c>
      <c r="O6" s="80">
        <f t="shared" si="3"/>
        <v>-50.75</v>
      </c>
      <c r="P6" s="80">
        <f t="shared" si="3"/>
        <v>-50.75</v>
      </c>
      <c r="Q6" s="75" t="s">
        <v>91</v>
      </c>
      <c r="R6" s="76"/>
    </row>
    <row r="7" spans="1:18" ht="15">
      <c r="A7" s="75" t="s">
        <v>94</v>
      </c>
      <c r="B7" s="75"/>
      <c r="C7" s="75"/>
      <c r="D7" s="75"/>
      <c r="E7" s="75"/>
      <c r="F7" s="75"/>
      <c r="G7" s="80">
        <f aca="true" t="shared" si="4" ref="G7:P7">SUM(G4:G6)</f>
        <v>49.25</v>
      </c>
      <c r="H7" s="80">
        <f t="shared" si="4"/>
        <v>49.25</v>
      </c>
      <c r="I7" s="80">
        <f t="shared" si="4"/>
        <v>49.25</v>
      </c>
      <c r="J7" s="80">
        <f t="shared" si="4"/>
        <v>49.25</v>
      </c>
      <c r="K7" s="80">
        <f t="shared" si="4"/>
        <v>49.25</v>
      </c>
      <c r="L7" s="80">
        <f t="shared" si="4"/>
        <v>49.25</v>
      </c>
      <c r="M7" s="80">
        <f t="shared" si="4"/>
        <v>49.25</v>
      </c>
      <c r="N7" s="80">
        <f t="shared" si="4"/>
        <v>49.25</v>
      </c>
      <c r="O7" s="80">
        <f t="shared" si="4"/>
        <v>49.25</v>
      </c>
      <c r="P7" s="80">
        <f t="shared" si="4"/>
        <v>49.25</v>
      </c>
      <c r="Q7" s="75" t="s">
        <v>91</v>
      </c>
      <c r="R7" s="76"/>
    </row>
    <row r="8" spans="1:18" ht="15">
      <c r="A8" s="75" t="s">
        <v>95</v>
      </c>
      <c r="B8" s="78">
        <v>14</v>
      </c>
      <c r="C8" s="79" t="s">
        <v>96</v>
      </c>
      <c r="D8" s="78">
        <v>700000</v>
      </c>
      <c r="E8" s="75" t="s">
        <v>97</v>
      </c>
      <c r="F8" s="78"/>
      <c r="G8" s="80">
        <f aca="true" t="shared" si="5" ref="G8:P8">-$D$8*$B$8/1000000</f>
        <v>-9.8</v>
      </c>
      <c r="H8" s="80">
        <f t="shared" si="5"/>
        <v>-9.8</v>
      </c>
      <c r="I8" s="80">
        <f t="shared" si="5"/>
        <v>-9.8</v>
      </c>
      <c r="J8" s="80">
        <f t="shared" si="5"/>
        <v>-9.8</v>
      </c>
      <c r="K8" s="80">
        <f t="shared" si="5"/>
        <v>-9.8</v>
      </c>
      <c r="L8" s="80">
        <f t="shared" si="5"/>
        <v>-9.8</v>
      </c>
      <c r="M8" s="80">
        <f t="shared" si="5"/>
        <v>-9.8</v>
      </c>
      <c r="N8" s="80">
        <f t="shared" si="5"/>
        <v>-9.8</v>
      </c>
      <c r="O8" s="80">
        <f t="shared" si="5"/>
        <v>-9.8</v>
      </c>
      <c r="P8" s="80">
        <f t="shared" si="5"/>
        <v>-9.8</v>
      </c>
      <c r="Q8" s="75" t="s">
        <v>91</v>
      </c>
      <c r="R8" s="76"/>
    </row>
    <row r="9" spans="1:18" ht="15">
      <c r="A9" s="84" t="s">
        <v>98</v>
      </c>
      <c r="B9" s="76"/>
      <c r="C9" s="76"/>
      <c r="D9" s="75"/>
      <c r="E9" s="75"/>
      <c r="F9" s="73">
        <v>-250</v>
      </c>
      <c r="G9" s="85"/>
      <c r="H9" s="75"/>
      <c r="I9" s="75"/>
      <c r="J9" s="75"/>
      <c r="K9" s="75"/>
      <c r="L9" s="75"/>
      <c r="M9" s="75"/>
      <c r="N9" s="75"/>
      <c r="O9" s="75"/>
      <c r="P9" s="73">
        <v>100</v>
      </c>
      <c r="Q9" s="76" t="s">
        <v>91</v>
      </c>
      <c r="R9" s="76"/>
    </row>
    <row r="10" spans="1:18" ht="15">
      <c r="A10" s="75" t="s">
        <v>99</v>
      </c>
      <c r="B10" s="86">
        <v>0.145</v>
      </c>
      <c r="C10" s="76"/>
      <c r="D10" s="76"/>
      <c r="E10" s="75"/>
      <c r="F10" s="87">
        <f>-D4*B4*B10/1000000</f>
        <v>-21.75</v>
      </c>
      <c r="G10" s="85"/>
      <c r="H10" s="75"/>
      <c r="I10" s="75"/>
      <c r="J10" s="75"/>
      <c r="K10" s="75"/>
      <c r="L10" s="75"/>
      <c r="M10" s="75"/>
      <c r="N10" s="75"/>
      <c r="O10" s="75"/>
      <c r="P10" s="80">
        <f>-F10</f>
        <v>21.75</v>
      </c>
      <c r="Q10" s="75" t="s">
        <v>91</v>
      </c>
      <c r="R10" s="76"/>
    </row>
    <row r="11" spans="1:18" ht="15">
      <c r="A11" s="75" t="s">
        <v>1</v>
      </c>
      <c r="B11" s="75"/>
      <c r="C11" s="75"/>
      <c r="D11" s="75"/>
      <c r="E11" s="75"/>
      <c r="F11" s="80">
        <f aca="true" t="shared" si="6" ref="F11:P11">SUM(F7:F10)</f>
        <v>-271.75</v>
      </c>
      <c r="G11" s="80">
        <f t="shared" si="6"/>
        <v>39.45</v>
      </c>
      <c r="H11" s="80">
        <f t="shared" si="6"/>
        <v>39.45</v>
      </c>
      <c r="I11" s="80">
        <f t="shared" si="6"/>
        <v>39.45</v>
      </c>
      <c r="J11" s="80">
        <f t="shared" si="6"/>
        <v>39.45</v>
      </c>
      <c r="K11" s="80">
        <f t="shared" si="6"/>
        <v>39.45</v>
      </c>
      <c r="L11" s="80">
        <f t="shared" si="6"/>
        <v>39.45</v>
      </c>
      <c r="M11" s="80">
        <f t="shared" si="6"/>
        <v>39.45</v>
      </c>
      <c r="N11" s="80">
        <f t="shared" si="6"/>
        <v>39.45</v>
      </c>
      <c r="O11" s="80">
        <f t="shared" si="6"/>
        <v>39.45</v>
      </c>
      <c r="P11" s="80">
        <f t="shared" si="6"/>
        <v>161.2</v>
      </c>
      <c r="Q11" s="75" t="s">
        <v>91</v>
      </c>
      <c r="R11" s="88"/>
    </row>
    <row r="12" spans="1:18" ht="15" hidden="1" outlineLevel="1">
      <c r="A12" s="75"/>
      <c r="B12" s="75"/>
      <c r="C12" s="75"/>
      <c r="D12" s="75"/>
      <c r="E12" s="75"/>
      <c r="F12" s="75"/>
      <c r="G12" s="89">
        <f aca="true" t="shared" si="7" ref="G12:P12">1/(1+$D$15)^(G3-$F$3)</f>
        <v>0.9174311926605504</v>
      </c>
      <c r="H12" s="75">
        <f t="shared" si="7"/>
        <v>0.84167999326656</v>
      </c>
      <c r="I12" s="75">
        <f t="shared" si="7"/>
        <v>0.7721834800610642</v>
      </c>
      <c r="J12" s="75">
        <f t="shared" si="7"/>
        <v>0.7084252110651964</v>
      </c>
      <c r="K12" s="75">
        <f t="shared" si="7"/>
        <v>0.6499313862983452</v>
      </c>
      <c r="L12" s="75">
        <f t="shared" si="7"/>
        <v>0.5962673268792158</v>
      </c>
      <c r="M12" s="75">
        <f t="shared" si="7"/>
        <v>0.5470342448433173</v>
      </c>
      <c r="N12" s="75">
        <f t="shared" si="7"/>
        <v>0.5018662796727681</v>
      </c>
      <c r="O12" s="75">
        <f t="shared" si="7"/>
        <v>0.460427779516301</v>
      </c>
      <c r="P12" s="89">
        <f t="shared" si="7"/>
        <v>0.42241080689568894</v>
      </c>
      <c r="Q12" s="75"/>
      <c r="R12" s="76"/>
    </row>
    <row r="13" spans="1:18" ht="15" hidden="1" outlineLevel="1">
      <c r="A13" s="75"/>
      <c r="B13" s="75"/>
      <c r="C13" s="75"/>
      <c r="D13" s="75"/>
      <c r="E13" s="75"/>
      <c r="F13" s="80">
        <f>F11</f>
        <v>-271.75</v>
      </c>
      <c r="G13" s="90">
        <f aca="true" t="shared" si="8" ref="G13:P13">G12*G11</f>
        <v>36.19266055045872</v>
      </c>
      <c r="H13" s="75">
        <f t="shared" si="8"/>
        <v>33.204275734365794</v>
      </c>
      <c r="I13" s="75">
        <f t="shared" si="8"/>
        <v>30.462638288408986</v>
      </c>
      <c r="J13" s="75">
        <f t="shared" si="8"/>
        <v>27.947374576522</v>
      </c>
      <c r="K13" s="75">
        <f t="shared" si="8"/>
        <v>25.63979318946972</v>
      </c>
      <c r="L13" s="75">
        <f t="shared" si="8"/>
        <v>23.522746045385066</v>
      </c>
      <c r="M13" s="75">
        <f t="shared" si="8"/>
        <v>21.580500959068868</v>
      </c>
      <c r="N13" s="75">
        <f t="shared" si="8"/>
        <v>19.7986247330907</v>
      </c>
      <c r="O13" s="75">
        <f t="shared" si="8"/>
        <v>18.163875901918075</v>
      </c>
      <c r="P13" s="90">
        <f t="shared" si="8"/>
        <v>68.09262207158505</v>
      </c>
      <c r="Q13" s="80"/>
      <c r="R13" s="76"/>
    </row>
    <row r="14" spans="1:18" ht="15" collapsed="1">
      <c r="A14" s="75" t="s">
        <v>43</v>
      </c>
      <c r="B14" s="76"/>
      <c r="C14" s="76"/>
      <c r="D14" s="76"/>
      <c r="E14" s="76"/>
      <c r="F14" s="91">
        <f>IRR(F11:P11)</f>
        <v>0.11256687496313122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</row>
    <row r="15" spans="1:18" ht="15">
      <c r="A15" s="75" t="s">
        <v>100</v>
      </c>
      <c r="B15" s="76"/>
      <c r="C15" s="76"/>
      <c r="D15" s="92">
        <v>0.09</v>
      </c>
      <c r="E15" s="86"/>
      <c r="F15" s="79">
        <f>NPV(D15,$F$11:$P$11)*(1+D15)</f>
        <v>32.85511205027299</v>
      </c>
      <c r="G15" s="77" t="str">
        <f>Q4</f>
        <v>mill. kr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15">
      <c r="A16" s="75"/>
      <c r="B16" s="76"/>
      <c r="C16" s="76"/>
      <c r="D16" s="76"/>
      <c r="E16" s="76"/>
      <c r="F16" s="76"/>
      <c r="G16" s="76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</row>
    <row r="17" spans="1:18" ht="15">
      <c r="A17" s="75"/>
      <c r="B17" s="93"/>
      <c r="C17" s="75"/>
      <c r="D17" s="74" t="s">
        <v>17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</row>
    <row r="18" spans="1:18" ht="15">
      <c r="A18" s="108"/>
      <c r="B18" s="109">
        <f>C18-C18</f>
        <v>0</v>
      </c>
      <c r="C18" s="110">
        <v>0.03</v>
      </c>
      <c r="D18" s="109">
        <f>C18+$C$18</f>
        <v>0.06</v>
      </c>
      <c r="E18" s="109">
        <f>D18+$C$18</f>
        <v>0.09</v>
      </c>
      <c r="F18" s="109">
        <f>E18+$C$18</f>
        <v>0.12</v>
      </c>
      <c r="G18" s="111">
        <f>F18+$C$18</f>
        <v>0.15</v>
      </c>
      <c r="H18" s="91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15">
      <c r="A19" s="74" t="s">
        <v>39</v>
      </c>
      <c r="B19" s="79">
        <f aca="true" t="shared" si="9" ref="B19:G19">NPV(B18,$F$11:$P$11)*(1+B18)</f>
        <v>244.49999999999997</v>
      </c>
      <c r="C19" s="79">
        <f t="shared" si="9"/>
        <v>155.3599360494827</v>
      </c>
      <c r="D19" s="79">
        <f t="shared" si="9"/>
        <v>86.58999826772532</v>
      </c>
      <c r="E19" s="79">
        <f t="shared" si="9"/>
        <v>32.85511205027299</v>
      </c>
      <c r="F19" s="79">
        <f t="shared" si="9"/>
        <v>-9.648459974274239</v>
      </c>
      <c r="G19" s="95">
        <f t="shared" si="9"/>
        <v>-43.664839739713436</v>
      </c>
      <c r="H19" s="79"/>
      <c r="I19" s="75"/>
      <c r="J19" s="75"/>
      <c r="K19" s="75"/>
      <c r="L19" s="75"/>
      <c r="M19" s="75"/>
      <c r="N19" s="75"/>
      <c r="O19" s="75"/>
      <c r="P19" s="75"/>
      <c r="Q19" s="75"/>
      <c r="R19" s="76"/>
    </row>
    <row r="20" spans="1:18" ht="12.7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1:18" ht="12.7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1:18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2.7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1:18" ht="12.7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1:18" ht="15">
      <c r="A25" s="74"/>
      <c r="B25" s="91"/>
      <c r="C25" s="91">
        <f>C18</f>
        <v>0.03</v>
      </c>
      <c r="D25" s="91">
        <f>D18</f>
        <v>0.06</v>
      </c>
      <c r="E25" s="91">
        <f>E18</f>
        <v>0.09</v>
      </c>
      <c r="F25" s="91">
        <f>F18</f>
        <v>0.12</v>
      </c>
      <c r="G25" s="94">
        <f>G18</f>
        <v>0.15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1:18" ht="12.7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2.7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ht="12.7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ht="12.7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ht="12.7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ht="12.7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ht="12.7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ht="12.7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ht="12.7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1:18" ht="12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ht="12.7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sheetProtection/>
  <mergeCells count="1">
    <mergeCell ref="F2:P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6"/>
  <sheetViews>
    <sheetView zoomScale="140" zoomScaleNormal="140" zoomScalePageLayoutView="0" workbookViewId="0" topLeftCell="A1">
      <selection activeCell="N10" sqref="N10"/>
    </sheetView>
  </sheetViews>
  <sheetFormatPr defaultColWidth="9.140625" defaultRowHeight="12.75"/>
  <cols>
    <col min="1" max="1" width="14.57421875" style="62" customWidth="1"/>
    <col min="2" max="2" width="8.140625" style="62" customWidth="1"/>
    <col min="3" max="4" width="8.00390625" style="62" customWidth="1"/>
    <col min="5" max="5" width="7.7109375" style="62" customWidth="1"/>
    <col min="6" max="7" width="7.421875" style="62" customWidth="1"/>
    <col min="8" max="8" width="7.8515625" style="62" customWidth="1"/>
    <col min="9" max="9" width="8.00390625" style="62" customWidth="1"/>
    <col min="10" max="10" width="6.57421875" style="62" customWidth="1"/>
    <col min="11" max="12" width="7.140625" style="62" customWidth="1"/>
    <col min="13" max="13" width="7.00390625" style="62" customWidth="1"/>
    <col min="14" max="14" width="7.28125" style="62" customWidth="1"/>
    <col min="15" max="15" width="7.140625" style="62" customWidth="1"/>
    <col min="16" max="16" width="7.57421875" style="62" customWidth="1"/>
    <col min="17" max="17" width="6.421875" style="62" customWidth="1"/>
    <col min="18" max="18" width="6.140625" style="62" customWidth="1"/>
    <col min="19" max="19" width="7.00390625" style="62" customWidth="1"/>
    <col min="20" max="20" width="6.7109375" style="62" customWidth="1"/>
    <col min="21" max="22" width="6.57421875" style="62" customWidth="1"/>
    <col min="23" max="23" width="7.57421875" style="62" customWidth="1"/>
    <col min="24" max="24" width="8.28125" style="62" customWidth="1"/>
    <col min="25" max="25" width="8.00390625" style="62" customWidth="1"/>
    <col min="26" max="26" width="7.8515625" style="62" customWidth="1"/>
    <col min="27" max="27" width="8.140625" style="62" customWidth="1"/>
    <col min="28" max="16384" width="11.421875" style="62" customWidth="1"/>
  </cols>
  <sheetData>
    <row r="1" spans="1:4" s="112" customFormat="1" ht="15">
      <c r="A1" s="61" t="s">
        <v>45</v>
      </c>
      <c r="D1" s="61"/>
    </row>
    <row r="2" spans="1:22" ht="15">
      <c r="A2" s="62" t="s">
        <v>3</v>
      </c>
      <c r="B2" s="113">
        <v>40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</row>
    <row r="3" spans="1:22" ht="15">
      <c r="A3" s="62" t="s">
        <v>4</v>
      </c>
      <c r="B3" s="113">
        <v>0.14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</row>
    <row r="4" spans="1:22" ht="15">
      <c r="A4" s="62" t="s">
        <v>6</v>
      </c>
      <c r="B4" s="113">
        <v>0.05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</row>
    <row r="5" spans="1:22" ht="15">
      <c r="A5" s="62" t="s">
        <v>5</v>
      </c>
      <c r="B5" s="113">
        <v>0.27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12" customFormat="1" ht="15">
      <c r="A6" s="62" t="s">
        <v>14</v>
      </c>
      <c r="B6" s="115">
        <v>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</row>
    <row r="7" spans="2:22" s="112" customFormat="1" ht="1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s="117" customFormat="1" ht="15">
      <c r="B8" s="162" t="s">
        <v>37</v>
      </c>
      <c r="C8" s="162"/>
      <c r="D8" s="162"/>
      <c r="E8" s="162"/>
      <c r="F8" s="162"/>
      <c r="G8" s="162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9" spans="1:22" s="112" customFormat="1" ht="15">
      <c r="A9" s="105"/>
      <c r="B9" s="118">
        <v>0</v>
      </c>
      <c r="C9" s="118">
        <v>1</v>
      </c>
      <c r="D9" s="118">
        <v>2</v>
      </c>
      <c r="E9" s="118">
        <v>3</v>
      </c>
      <c r="F9" s="118">
        <v>4</v>
      </c>
      <c r="G9" s="118">
        <v>5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</row>
    <row r="10" spans="1:22" s="112" customFormat="1" ht="15">
      <c r="A10" s="62" t="s">
        <v>7</v>
      </c>
      <c r="B10" s="119">
        <f>B2</f>
        <v>40</v>
      </c>
      <c r="C10" s="119"/>
      <c r="D10" s="119"/>
      <c r="E10" s="119"/>
      <c r="F10" s="119"/>
      <c r="G10" s="119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</row>
    <row r="11" spans="1:22" s="112" customFormat="1" ht="15">
      <c r="A11" s="62" t="s">
        <v>8</v>
      </c>
      <c r="B11" s="119">
        <f>B10</f>
        <v>40</v>
      </c>
      <c r="C11" s="119">
        <f>B11+C13</f>
        <v>32</v>
      </c>
      <c r="D11" s="119">
        <f>C11+D13</f>
        <v>24</v>
      </c>
      <c r="E11" s="119">
        <f>D11+E13</f>
        <v>16</v>
      </c>
      <c r="F11" s="119">
        <f>E11+F13</f>
        <v>8</v>
      </c>
      <c r="G11" s="119">
        <f>F11+G13</f>
        <v>0</v>
      </c>
      <c r="H11" s="116"/>
      <c r="I11" s="116"/>
      <c r="J11" s="116"/>
      <c r="K11" s="116"/>
      <c r="L11" s="116" t="s">
        <v>0</v>
      </c>
      <c r="M11" s="116"/>
      <c r="N11" s="116"/>
      <c r="O11" s="116"/>
      <c r="P11" s="116"/>
      <c r="Q11" s="116"/>
      <c r="R11" s="116"/>
      <c r="S11" s="116"/>
      <c r="T11" s="116"/>
      <c r="U11" s="116"/>
      <c r="V11" s="116"/>
    </row>
    <row r="12" spans="1:22" s="112" customFormat="1" ht="15">
      <c r="A12" s="62" t="s">
        <v>4</v>
      </c>
      <c r="B12" s="119">
        <f>-B3</f>
        <v>-0.14</v>
      </c>
      <c r="C12" s="119"/>
      <c r="D12" s="119"/>
      <c r="E12" s="119"/>
      <c r="F12" s="119"/>
      <c r="G12" s="119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1:22" s="112" customFormat="1" ht="15">
      <c r="A13" s="62" t="s">
        <v>9</v>
      </c>
      <c r="B13" s="119"/>
      <c r="C13" s="119">
        <f>-B2/B6</f>
        <v>-8</v>
      </c>
      <c r="D13" s="119">
        <f>C13</f>
        <v>-8</v>
      </c>
      <c r="E13" s="119">
        <f>D13</f>
        <v>-8</v>
      </c>
      <c r="F13" s="119">
        <f>E13</f>
        <v>-8</v>
      </c>
      <c r="G13" s="119">
        <f>F13</f>
        <v>-8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1:22" s="112" customFormat="1" ht="15">
      <c r="A14" s="105" t="s">
        <v>10</v>
      </c>
      <c r="B14" s="120"/>
      <c r="C14" s="120">
        <f>-$B$4*B11</f>
        <v>-2</v>
      </c>
      <c r="D14" s="120">
        <f>-$B$4*C11</f>
        <v>-1.6</v>
      </c>
      <c r="E14" s="120">
        <f>-$B$4*D11</f>
        <v>-1.2000000000000002</v>
      </c>
      <c r="F14" s="120">
        <f>-$B$4*E11</f>
        <v>-0.8</v>
      </c>
      <c r="G14" s="120">
        <f>-$B$4*F11</f>
        <v>-0.4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1:22" s="112" customFormat="1" ht="15">
      <c r="A15" s="62" t="s">
        <v>1</v>
      </c>
      <c r="B15" s="119"/>
      <c r="C15" s="119"/>
      <c r="D15" s="119"/>
      <c r="E15" s="119"/>
      <c r="F15" s="119"/>
      <c r="G15" s="119"/>
      <c r="H15" s="116"/>
      <c r="I15" s="116"/>
      <c r="J15" s="116"/>
      <c r="K15" s="116"/>
      <c r="L15" s="116" t="s">
        <v>0</v>
      </c>
      <c r="M15" s="116" t="s">
        <v>0</v>
      </c>
      <c r="N15" s="116"/>
      <c r="O15" s="116"/>
      <c r="P15" s="116"/>
      <c r="Q15" s="116"/>
      <c r="R15" s="116"/>
      <c r="S15" s="116"/>
      <c r="T15" s="116"/>
      <c r="U15" s="116"/>
      <c r="V15" s="116"/>
    </row>
    <row r="16" spans="1:22" s="112" customFormat="1" ht="15">
      <c r="A16" s="121" t="s">
        <v>11</v>
      </c>
      <c r="B16" s="122">
        <f>B10+B12</f>
        <v>39.86</v>
      </c>
      <c r="C16" s="122">
        <f>C13+C14</f>
        <v>-10</v>
      </c>
      <c r="D16" s="122">
        <f>D13+D14</f>
        <v>-9.6</v>
      </c>
      <c r="E16" s="122">
        <f>E13+E14</f>
        <v>-9.2</v>
      </c>
      <c r="F16" s="122">
        <f>F13+F14</f>
        <v>-8.8</v>
      </c>
      <c r="G16" s="122">
        <f>G13+G14</f>
        <v>-8.4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</row>
    <row r="17" spans="1:22" s="112" customFormat="1" ht="15">
      <c r="A17" s="105" t="s">
        <v>12</v>
      </c>
      <c r="B17" s="120">
        <f>B3*B5</f>
        <v>0.03780000000000001</v>
      </c>
      <c r="C17" s="120">
        <f>-$B$5*C14</f>
        <v>0.54</v>
      </c>
      <c r="D17" s="120">
        <f>-$B$5*D14</f>
        <v>0.43200000000000005</v>
      </c>
      <c r="E17" s="120">
        <f>-$B$5*E14</f>
        <v>0.32400000000000007</v>
      </c>
      <c r="F17" s="120">
        <f>-$B$5*F14</f>
        <v>0.21600000000000003</v>
      </c>
      <c r="G17" s="120">
        <f>-$B$5*G14</f>
        <v>0.10800000000000001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</row>
    <row r="18" spans="1:22" s="112" customFormat="1" ht="15">
      <c r="A18" s="62" t="s">
        <v>1</v>
      </c>
      <c r="B18" s="119"/>
      <c r="C18" s="123"/>
      <c r="D18" s="123"/>
      <c r="E18" s="123"/>
      <c r="F18" s="123"/>
      <c r="G18" s="123"/>
      <c r="H18" s="116"/>
      <c r="I18" s="116"/>
      <c r="J18" s="116" t="s">
        <v>0</v>
      </c>
      <c r="K18" s="116"/>
      <c r="L18" s="116"/>
      <c r="M18" s="116" t="s">
        <v>0</v>
      </c>
      <c r="N18" s="116"/>
      <c r="O18" s="116"/>
      <c r="P18" s="116"/>
      <c r="Q18" s="116"/>
      <c r="R18" s="116"/>
      <c r="S18" s="116"/>
      <c r="T18" s="116"/>
      <c r="U18" s="116"/>
      <c r="V18" s="116"/>
    </row>
    <row r="19" spans="1:22" s="112" customFormat="1" ht="15.75" thickBot="1">
      <c r="A19" s="124" t="s">
        <v>13</v>
      </c>
      <c r="B19" s="125">
        <f aca="true" t="shared" si="0" ref="B19:G19">B16+B17</f>
        <v>39.8978</v>
      </c>
      <c r="C19" s="125">
        <f t="shared" si="0"/>
        <v>-9.46</v>
      </c>
      <c r="D19" s="125">
        <f t="shared" si="0"/>
        <v>-9.168</v>
      </c>
      <c r="E19" s="125">
        <f t="shared" si="0"/>
        <v>-8.876</v>
      </c>
      <c r="F19" s="125">
        <f t="shared" si="0"/>
        <v>-8.584000000000001</v>
      </c>
      <c r="G19" s="125">
        <f t="shared" si="0"/>
        <v>-8.292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2:22" s="112" customFormat="1" ht="15.75" thickTop="1">
      <c r="B20" s="116"/>
      <c r="C20" s="116"/>
      <c r="D20" s="116"/>
      <c r="E20" s="116"/>
      <c r="F20" s="116"/>
      <c r="G20" s="116"/>
      <c r="H20" s="116"/>
      <c r="I20" s="116"/>
      <c r="J20" s="116"/>
      <c r="K20" s="116" t="s">
        <v>0</v>
      </c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1" s="126" customFormat="1" ht="14.25"/>
    <row r="22" s="126" customFormat="1" ht="14.25"/>
    <row r="23" s="126" customFormat="1" ht="14.25">
      <c r="J23" s="126" t="s">
        <v>0</v>
      </c>
    </row>
    <row r="24" s="126" customFormat="1" ht="14.25">
      <c r="K24" s="126" t="s">
        <v>0</v>
      </c>
    </row>
    <row r="25" s="126" customFormat="1" ht="14.25">
      <c r="I25" s="126" t="s">
        <v>0</v>
      </c>
    </row>
    <row r="26" s="126" customFormat="1" ht="14.25"/>
    <row r="27" s="126" customFormat="1" ht="14.25">
      <c r="F27" s="126" t="s">
        <v>0</v>
      </c>
    </row>
    <row r="28" s="126" customFormat="1" ht="14.25"/>
    <row r="29" s="126" customFormat="1" ht="14.25"/>
    <row r="30" s="126" customFormat="1" ht="14.25"/>
    <row r="31" s="126" customFormat="1" ht="14.25"/>
    <row r="32" s="126" customFormat="1" ht="14.25">
      <c r="J32" s="126" t="s">
        <v>0</v>
      </c>
    </row>
    <row r="33" s="126" customFormat="1" ht="14.25"/>
    <row r="34" s="126" customFormat="1" ht="14.25">
      <c r="C34" s="126" t="s">
        <v>0</v>
      </c>
    </row>
    <row r="35" s="126" customFormat="1" ht="14.25"/>
    <row r="36" s="126" customFormat="1" ht="14.25">
      <c r="H36" s="126" t="s">
        <v>0</v>
      </c>
    </row>
    <row r="37" s="126" customFormat="1" ht="14.25"/>
    <row r="38" s="126" customFormat="1" ht="14.25"/>
    <row r="39" s="126" customFormat="1" ht="14.25"/>
    <row r="40" s="126" customFormat="1" ht="14.25"/>
    <row r="41" s="126" customFormat="1" ht="14.25"/>
    <row r="42" s="126" customFormat="1" ht="14.25"/>
    <row r="43" s="126" customFormat="1" ht="14.25"/>
    <row r="44" s="126" customFormat="1" ht="14.25"/>
    <row r="45" s="126" customFormat="1" ht="14.25"/>
    <row r="46" s="126" customFormat="1" ht="14.25"/>
    <row r="47" s="126" customFormat="1" ht="14.25"/>
    <row r="48" s="126" customFormat="1" ht="14.25"/>
    <row r="49" s="126" customFormat="1" ht="14.25"/>
    <row r="50" s="126" customFormat="1" ht="14.25"/>
    <row r="51" s="126" customFormat="1" ht="14.25"/>
    <row r="52" s="126" customFormat="1" ht="14.25"/>
    <row r="53" s="126" customFormat="1" ht="14.25"/>
    <row r="54" s="126" customFormat="1" ht="14.25"/>
    <row r="55" s="126" customFormat="1" ht="14.25"/>
    <row r="56" s="126" customFormat="1" ht="14.25"/>
    <row r="57" s="126" customFormat="1" ht="14.25"/>
    <row r="58" s="126" customFormat="1" ht="14.25"/>
    <row r="59" s="126" customFormat="1" ht="14.25"/>
    <row r="60" s="126" customFormat="1" ht="14.25"/>
    <row r="61" s="126" customFormat="1" ht="14.25"/>
    <row r="62" s="126" customFormat="1" ht="14.25"/>
    <row r="63" s="126" customFormat="1" ht="14.25"/>
    <row r="64" s="126" customFormat="1" ht="14.25"/>
    <row r="65" s="126" customFormat="1" ht="14.25"/>
    <row r="66" s="126" customFormat="1" ht="14.25"/>
    <row r="67" s="126" customFormat="1" ht="14.25"/>
    <row r="68" s="126" customFormat="1" ht="14.25"/>
    <row r="69" s="126" customFormat="1" ht="14.25"/>
    <row r="70" s="126" customFormat="1" ht="14.25"/>
    <row r="71" s="126" customFormat="1" ht="14.25"/>
    <row r="72" s="126" customFormat="1" ht="14.25"/>
    <row r="73" s="126" customFormat="1" ht="14.25"/>
    <row r="74" s="126" customFormat="1" ht="14.25"/>
    <row r="75" s="126" customFormat="1" ht="14.25"/>
    <row r="76" s="126" customFormat="1" ht="14.25"/>
    <row r="77" s="126" customFormat="1" ht="14.25"/>
    <row r="78" s="126" customFormat="1" ht="14.25"/>
    <row r="79" s="126" customFormat="1" ht="14.25"/>
    <row r="80" s="126" customFormat="1" ht="14.25"/>
    <row r="81" s="126" customFormat="1" ht="14.25"/>
    <row r="82" s="126" customFormat="1" ht="14.25"/>
    <row r="83" s="126" customFormat="1" ht="14.25"/>
    <row r="84" s="126" customFormat="1" ht="14.25"/>
    <row r="85" s="126" customFormat="1" ht="14.25"/>
    <row r="86" s="126" customFormat="1" ht="14.25"/>
    <row r="87" s="126" customFormat="1" ht="14.25"/>
    <row r="88" s="126" customFormat="1" ht="14.25"/>
    <row r="89" s="126" customFormat="1" ht="14.25"/>
    <row r="90" s="126" customFormat="1" ht="14.25"/>
    <row r="91" s="126" customFormat="1" ht="14.25"/>
    <row r="92" s="126" customFormat="1" ht="14.25"/>
    <row r="93" s="126" customFormat="1" ht="14.25"/>
    <row r="94" s="126" customFormat="1" ht="14.25"/>
    <row r="95" s="126" customFormat="1" ht="14.25"/>
    <row r="96" s="126" customFormat="1" ht="14.25"/>
    <row r="97" s="126" customFormat="1" ht="14.25"/>
    <row r="98" s="126" customFormat="1" ht="14.25"/>
    <row r="99" s="126" customFormat="1" ht="14.25"/>
    <row r="100" s="126" customFormat="1" ht="14.25"/>
    <row r="101" s="126" customFormat="1" ht="14.25"/>
    <row r="102" s="126" customFormat="1" ht="14.25"/>
    <row r="103" s="126" customFormat="1" ht="14.25"/>
    <row r="104" s="126" customFormat="1" ht="14.25"/>
    <row r="105" s="126" customFormat="1" ht="14.25"/>
    <row r="106" s="126" customFormat="1" ht="14.25"/>
    <row r="107" s="126" customFormat="1" ht="14.25"/>
    <row r="108" s="126" customFormat="1" ht="14.25"/>
    <row r="109" s="126" customFormat="1" ht="14.25"/>
    <row r="110" s="126" customFormat="1" ht="14.25"/>
    <row r="111" s="126" customFormat="1" ht="14.25"/>
    <row r="112" s="126" customFormat="1" ht="14.25"/>
    <row r="113" s="126" customFormat="1" ht="14.25"/>
    <row r="114" s="126" customFormat="1" ht="14.25"/>
    <row r="115" s="126" customFormat="1" ht="14.25"/>
    <row r="116" s="126" customFormat="1" ht="14.25"/>
    <row r="117" s="126" customFormat="1" ht="14.25"/>
    <row r="118" s="126" customFormat="1" ht="14.25"/>
    <row r="119" s="126" customFormat="1" ht="14.25"/>
    <row r="120" s="126" customFormat="1" ht="14.25"/>
    <row r="121" s="126" customFormat="1" ht="14.25"/>
    <row r="122" s="126" customFormat="1" ht="14.25"/>
    <row r="123" s="126" customFormat="1" ht="14.25"/>
    <row r="124" s="126" customFormat="1" ht="14.25"/>
    <row r="125" s="126" customFormat="1" ht="14.25"/>
    <row r="126" s="126" customFormat="1" ht="14.25"/>
  </sheetData>
  <sheetProtection/>
  <mergeCells count="1">
    <mergeCell ref="B8:G8"/>
  </mergeCells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7"/>
  <sheetViews>
    <sheetView zoomScale="140" zoomScaleNormal="140" zoomScalePageLayoutView="0" workbookViewId="0" topLeftCell="A4">
      <selection activeCell="B21" sqref="B21"/>
    </sheetView>
  </sheetViews>
  <sheetFormatPr defaultColWidth="9.140625" defaultRowHeight="12.75"/>
  <cols>
    <col min="1" max="1" width="14.57421875" style="3" customWidth="1"/>
    <col min="2" max="2" width="8.140625" style="3" customWidth="1"/>
    <col min="3" max="4" width="8.00390625" style="3" customWidth="1"/>
    <col min="5" max="5" width="12.421875" style="3" customWidth="1"/>
    <col min="6" max="7" width="7.421875" style="3" customWidth="1"/>
    <col min="8" max="8" width="7.8515625" style="3" customWidth="1"/>
    <col min="9" max="9" width="8.00390625" style="3" customWidth="1"/>
    <col min="10" max="10" width="6.57421875" style="3" customWidth="1"/>
    <col min="11" max="12" width="7.140625" style="3" customWidth="1"/>
    <col min="13" max="13" width="7.00390625" style="3" customWidth="1"/>
    <col min="14" max="14" width="7.28125" style="3" customWidth="1"/>
    <col min="15" max="15" width="7.140625" style="3" customWidth="1"/>
    <col min="16" max="16" width="7.57421875" style="3" customWidth="1"/>
    <col min="17" max="17" width="6.421875" style="3" customWidth="1"/>
    <col min="18" max="18" width="6.140625" style="3" customWidth="1"/>
    <col min="19" max="19" width="7.00390625" style="3" customWidth="1"/>
    <col min="20" max="20" width="6.7109375" style="3" customWidth="1"/>
    <col min="21" max="22" width="6.57421875" style="3" customWidth="1"/>
    <col min="23" max="23" width="7.57421875" style="3" customWidth="1"/>
    <col min="24" max="24" width="8.28125" style="3" customWidth="1"/>
    <col min="25" max="25" width="8.00390625" style="3" customWidth="1"/>
    <col min="26" max="26" width="7.8515625" style="3" customWidth="1"/>
    <col min="27" max="27" width="8.140625" style="3" customWidth="1"/>
    <col min="28" max="16384" width="11.421875" style="3" customWidth="1"/>
  </cols>
  <sheetData>
    <row r="1" spans="1:4" s="2" customFormat="1" ht="13.5">
      <c r="A1" s="5" t="s">
        <v>45</v>
      </c>
      <c r="D1" s="5"/>
    </row>
    <row r="2" spans="1:22" ht="12.75">
      <c r="A2" s="3" t="s">
        <v>3</v>
      </c>
      <c r="B2" s="52">
        <v>40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2.75">
      <c r="A3" s="3" t="s">
        <v>4</v>
      </c>
      <c r="B3" s="52">
        <v>0.14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2.75">
      <c r="A4" s="3" t="s">
        <v>6</v>
      </c>
      <c r="B4" s="52">
        <v>0.05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.75">
      <c r="A5" s="3" t="s">
        <v>5</v>
      </c>
      <c r="B5" s="52">
        <v>0.27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2" customFormat="1" ht="13.5">
      <c r="A6" s="3" t="s">
        <v>14</v>
      </c>
      <c r="B6" s="44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2:12" s="2" customFormat="1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22" s="2" customFormat="1" ht="13.5">
      <c r="B8" s="163" t="s">
        <v>37</v>
      </c>
      <c r="C8" s="163"/>
      <c r="D8" s="163"/>
      <c r="E8" s="163"/>
      <c r="F8" s="163"/>
      <c r="G8" s="163"/>
      <c r="H8" s="51" t="s">
        <v>15</v>
      </c>
      <c r="I8" s="7"/>
      <c r="J8" s="7"/>
      <c r="K8" s="7"/>
      <c r="L8" s="7"/>
      <c r="M8" s="7"/>
      <c r="N8" s="7"/>
      <c r="O8" s="7">
        <v>1</v>
      </c>
      <c r="P8" s="7">
        <v>2</v>
      </c>
      <c r="Q8" s="7">
        <v>3</v>
      </c>
      <c r="R8" s="7">
        <v>4</v>
      </c>
      <c r="S8" s="7">
        <v>5</v>
      </c>
      <c r="T8" s="7">
        <v>6</v>
      </c>
      <c r="U8" s="7">
        <v>7</v>
      </c>
      <c r="V8" s="7"/>
    </row>
    <row r="9" spans="1:24" s="8" customFormat="1" ht="13.5">
      <c r="A9" s="10"/>
      <c r="B9" s="38">
        <v>0</v>
      </c>
      <c r="C9" s="38">
        <v>1</v>
      </c>
      <c r="D9" s="38">
        <v>2</v>
      </c>
      <c r="E9" s="38">
        <v>3</v>
      </c>
      <c r="F9" s="38">
        <v>4</v>
      </c>
      <c r="G9" s="38">
        <v>5</v>
      </c>
      <c r="H9" s="38" t="s">
        <v>2</v>
      </c>
      <c r="I9" s="4"/>
      <c r="J9" s="4"/>
      <c r="K9" s="4"/>
      <c r="L9" s="4"/>
      <c r="M9" s="7"/>
      <c r="N9" s="7"/>
      <c r="O9" s="7"/>
      <c r="P9" s="7"/>
      <c r="Q9" s="7" t="s">
        <v>17</v>
      </c>
      <c r="R9" s="7"/>
      <c r="S9" s="7"/>
      <c r="T9" s="7"/>
      <c r="U9" s="7"/>
      <c r="V9" s="7"/>
      <c r="W9" s="2"/>
      <c r="X9" s="2"/>
    </row>
    <row r="10" spans="1:22" s="2" customFormat="1" ht="13.5">
      <c r="A10" s="3" t="s">
        <v>7</v>
      </c>
      <c r="B10" s="39">
        <f>B2</f>
        <v>40</v>
      </c>
      <c r="C10" s="39"/>
      <c r="D10" s="39"/>
      <c r="E10" s="39"/>
      <c r="F10" s="39"/>
      <c r="G10" s="39"/>
      <c r="H10" s="45"/>
      <c r="I10" s="7"/>
      <c r="J10" s="7"/>
      <c r="K10" s="7"/>
      <c r="L10" s="7"/>
      <c r="M10" s="7"/>
      <c r="N10" s="7">
        <v>0</v>
      </c>
      <c r="O10" s="7">
        <v>1</v>
      </c>
      <c r="P10" s="7">
        <v>2</v>
      </c>
      <c r="Q10" s="7">
        <v>3</v>
      </c>
      <c r="R10" s="7">
        <v>4</v>
      </c>
      <c r="S10" s="7">
        <v>5</v>
      </c>
      <c r="T10" s="7">
        <v>6</v>
      </c>
      <c r="U10" s="7">
        <v>7</v>
      </c>
      <c r="V10" s="7"/>
    </row>
    <row r="11" spans="1:24" s="2" customFormat="1" ht="13.5">
      <c r="A11" s="3" t="s">
        <v>8</v>
      </c>
      <c r="B11" s="39">
        <f>B10</f>
        <v>40</v>
      </c>
      <c r="C11" s="39">
        <f>B11+C13</f>
        <v>32</v>
      </c>
      <c r="D11" s="39">
        <f>C11+D13</f>
        <v>24</v>
      </c>
      <c r="E11" s="39">
        <f>D11+E13</f>
        <v>16</v>
      </c>
      <c r="F11" s="39">
        <f>E11+F13</f>
        <v>8</v>
      </c>
      <c r="G11" s="39">
        <f>F11+G13</f>
        <v>0</v>
      </c>
      <c r="H11" s="45"/>
      <c r="I11" s="7"/>
      <c r="J11" s="7"/>
      <c r="K11" s="7"/>
      <c r="L11" s="7"/>
      <c r="M11" s="4" t="s">
        <v>23</v>
      </c>
      <c r="N11" s="4">
        <f>$B$19+NPV(N10/100,$C$19:$G$19)</f>
        <v>-4.482200000000006</v>
      </c>
      <c r="O11" s="4">
        <f aca="true" t="shared" si="0" ref="O11:U11">$B$19+NPV(O10/100,$C$19:$G$19)</f>
        <v>-3.268085230577398</v>
      </c>
      <c r="P11" s="4">
        <f t="shared" si="0"/>
        <v>-2.1079834404705693</v>
      </c>
      <c r="Q11" s="4">
        <f t="shared" si="0"/>
        <v>-0.9988246673183383</v>
      </c>
      <c r="R11" s="4">
        <f t="shared" si="0"/>
        <v>0.06225330069514001</v>
      </c>
      <c r="S11" s="4">
        <f t="shared" si="0"/>
        <v>1.077921059689757</v>
      </c>
      <c r="T11" s="4">
        <f t="shared" si="0"/>
        <v>2.0506723194537244</v>
      </c>
      <c r="U11" s="4">
        <f t="shared" si="0"/>
        <v>2.9828373624653963</v>
      </c>
      <c r="V11" s="4"/>
      <c r="W11" s="8"/>
      <c r="X11" s="8"/>
    </row>
    <row r="12" spans="1:22" s="2" customFormat="1" ht="13.5">
      <c r="A12" s="3" t="s">
        <v>4</v>
      </c>
      <c r="B12" s="39">
        <f>-B3</f>
        <v>-0.14</v>
      </c>
      <c r="C12" s="39"/>
      <c r="D12" s="39"/>
      <c r="E12" s="39"/>
      <c r="F12" s="39"/>
      <c r="G12" s="39"/>
      <c r="H12" s="45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2" customFormat="1" ht="13.5">
      <c r="A13" s="3" t="s">
        <v>9</v>
      </c>
      <c r="B13" s="39"/>
      <c r="C13" s="39">
        <f>-B2/B6</f>
        <v>-8</v>
      </c>
      <c r="D13" s="39">
        <f>C13</f>
        <v>-8</v>
      </c>
      <c r="E13" s="39">
        <f>D13</f>
        <v>-8</v>
      </c>
      <c r="F13" s="39">
        <f>E13</f>
        <v>-8</v>
      </c>
      <c r="G13" s="39">
        <f>F13</f>
        <v>-8</v>
      </c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2" customFormat="1" ht="13.5">
      <c r="A14" s="10" t="s">
        <v>10</v>
      </c>
      <c r="B14" s="40">
        <f>-$B$4*B11</f>
        <v>-2</v>
      </c>
      <c r="C14" s="40">
        <f>-$B$4*C11</f>
        <v>-1.6</v>
      </c>
      <c r="D14" s="40">
        <f>-$B$4*D11</f>
        <v>-1.2000000000000002</v>
      </c>
      <c r="E14" s="40">
        <f>-$B$4*E11</f>
        <v>-0.8</v>
      </c>
      <c r="F14" s="40">
        <f>-$B$4*F11</f>
        <v>-0.4</v>
      </c>
      <c r="G14" s="46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2" customFormat="1" ht="13.5">
      <c r="A15" s="3" t="s">
        <v>1</v>
      </c>
      <c r="B15" s="39"/>
      <c r="C15" s="39"/>
      <c r="D15" s="39"/>
      <c r="E15" s="39"/>
      <c r="F15" s="39"/>
      <c r="G15" s="39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2" customFormat="1" ht="13.5">
      <c r="A16" s="13" t="s">
        <v>11</v>
      </c>
      <c r="B16" s="41">
        <f>B10+B12+B14</f>
        <v>37.86</v>
      </c>
      <c r="C16" s="41">
        <f>C13+C14</f>
        <v>-9.6</v>
      </c>
      <c r="D16" s="41">
        <f>D13+D14</f>
        <v>-9.2</v>
      </c>
      <c r="E16" s="41">
        <f>E13+E14</f>
        <v>-8.8</v>
      </c>
      <c r="F16" s="41">
        <f>F13+F14</f>
        <v>-8.4</v>
      </c>
      <c r="G16" s="41">
        <f>G13+G14</f>
        <v>-8</v>
      </c>
      <c r="H16" s="47">
        <f>IRR(B16:G16)</f>
        <v>0.05401709562170631</v>
      </c>
      <c r="I16" s="7"/>
      <c r="J16" s="7"/>
      <c r="K16" s="7"/>
      <c r="L16" s="7" t="s">
        <v>0</v>
      </c>
      <c r="M16" s="7" t="s">
        <v>0</v>
      </c>
      <c r="N16" s="7"/>
      <c r="O16" s="7"/>
      <c r="P16" s="7"/>
      <c r="Q16" s="7"/>
      <c r="R16" s="7"/>
      <c r="S16" s="7"/>
      <c r="T16" s="7"/>
      <c r="U16" s="7"/>
      <c r="V16" s="7"/>
    </row>
    <row r="17" spans="1:22" s="2" customFormat="1" ht="13.5">
      <c r="A17" s="10" t="s">
        <v>12</v>
      </c>
      <c r="B17" s="40">
        <f>(B3*B5)</f>
        <v>0.03780000000000001</v>
      </c>
      <c r="C17" s="40">
        <f>-$B$5*B14</f>
        <v>0.54</v>
      </c>
      <c r="D17" s="40">
        <f>-$B$5*C14</f>
        <v>0.43200000000000005</v>
      </c>
      <c r="E17" s="40">
        <f>-$B$5*D14</f>
        <v>0.32400000000000007</v>
      </c>
      <c r="F17" s="40">
        <f>-$B$5*E14</f>
        <v>0.21600000000000003</v>
      </c>
      <c r="G17" s="40">
        <f>-$B$5*F14</f>
        <v>0.10800000000000001</v>
      </c>
      <c r="H17" s="48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2" customFormat="1" ht="13.5">
      <c r="A18" s="3" t="s">
        <v>1</v>
      </c>
      <c r="B18" s="39"/>
      <c r="C18" s="42"/>
      <c r="D18" s="42"/>
      <c r="E18" s="42"/>
      <c r="F18" s="42"/>
      <c r="G18" s="42"/>
      <c r="H18" s="49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2" customFormat="1" ht="14.25" thickBot="1">
      <c r="A19" s="9" t="s">
        <v>13</v>
      </c>
      <c r="B19" s="43">
        <f aca="true" t="shared" si="1" ref="B19:G19">B16+B17</f>
        <v>37.8978</v>
      </c>
      <c r="C19" s="43">
        <f t="shared" si="1"/>
        <v>-9.059999999999999</v>
      </c>
      <c r="D19" s="43">
        <f t="shared" si="1"/>
        <v>-8.767999999999999</v>
      </c>
      <c r="E19" s="43">
        <f t="shared" si="1"/>
        <v>-8.476</v>
      </c>
      <c r="F19" s="43">
        <f t="shared" si="1"/>
        <v>-8.184000000000001</v>
      </c>
      <c r="G19" s="43">
        <f t="shared" si="1"/>
        <v>-7.892</v>
      </c>
      <c r="H19" s="50">
        <f>IRR(B19:G19)</f>
        <v>0.03940100975919614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s="2" customFormat="1" ht="14.25" thickTop="1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s="2" customFormat="1" ht="13.5">
      <c r="A21" s="3" t="s">
        <v>23</v>
      </c>
      <c r="B21" s="129">
        <f>B19+NPV(B22,C19:G19)</f>
        <v>-0.2511840518723574</v>
      </c>
      <c r="C21" s="7"/>
      <c r="D21" s="7"/>
      <c r="E21" s="7"/>
      <c r="F21" s="7"/>
      <c r="G21" s="7"/>
      <c r="H21" s="7"/>
      <c r="I21" s="7"/>
      <c r="J21" s="7"/>
      <c r="K21" s="7" t="s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14" s="1" customFormat="1" ht="12.75">
      <c r="B22" s="1">
        <v>0.037</v>
      </c>
      <c r="E22" s="127" t="s">
        <v>25</v>
      </c>
      <c r="N22" s="1" t="s">
        <v>0</v>
      </c>
    </row>
    <row r="23" spans="5:12" s="1" customFormat="1" ht="12.75">
      <c r="E23" s="3" t="s">
        <v>24</v>
      </c>
      <c r="F23" s="16">
        <v>0.01</v>
      </c>
      <c r="G23" s="3"/>
      <c r="H23" s="3"/>
      <c r="I23" s="3"/>
      <c r="J23" s="3"/>
      <c r="K23" s="3"/>
      <c r="L23" s="3"/>
    </row>
    <row r="24" spans="5:12" s="1" customFormat="1" ht="12.75">
      <c r="E24" s="3" t="s">
        <v>9</v>
      </c>
      <c r="F24" s="3">
        <f>B2/(B6*4)</f>
        <v>2</v>
      </c>
      <c r="G24" s="3"/>
      <c r="H24" s="3"/>
      <c r="I24" s="3"/>
      <c r="J24" s="3"/>
      <c r="K24" s="3"/>
      <c r="L24" s="3"/>
    </row>
    <row r="25" spans="5:27" s="1" customFormat="1" ht="13.5">
      <c r="E25" s="2"/>
      <c r="F25" s="7"/>
      <c r="G25" s="7"/>
      <c r="H25" s="7"/>
      <c r="I25" s="7"/>
      <c r="J25" s="7"/>
      <c r="K25" s="7"/>
      <c r="L25" s="3"/>
      <c r="AA25" s="4" t="s">
        <v>15</v>
      </c>
    </row>
    <row r="26" spans="5:27" s="1" customFormat="1" ht="12.75">
      <c r="E26" s="10"/>
      <c r="F26" s="6">
        <v>0</v>
      </c>
      <c r="G26" s="6">
        <v>1</v>
      </c>
      <c r="H26" s="6">
        <v>2</v>
      </c>
      <c r="I26" s="6">
        <v>3</v>
      </c>
      <c r="J26" s="6">
        <v>4</v>
      </c>
      <c r="K26" s="6">
        <v>5</v>
      </c>
      <c r="L26" s="6">
        <v>6</v>
      </c>
      <c r="M26" s="6">
        <v>7</v>
      </c>
      <c r="N26" s="6">
        <v>8</v>
      </c>
      <c r="O26" s="6">
        <v>9</v>
      </c>
      <c r="P26" s="6">
        <v>10</v>
      </c>
      <c r="Q26" s="6">
        <v>11</v>
      </c>
      <c r="R26" s="6">
        <v>12</v>
      </c>
      <c r="S26" s="6">
        <v>13</v>
      </c>
      <c r="T26" s="6">
        <v>14</v>
      </c>
      <c r="U26" s="6">
        <v>15</v>
      </c>
      <c r="V26" s="6">
        <v>16</v>
      </c>
      <c r="W26" s="6">
        <v>17</v>
      </c>
      <c r="X26" s="6">
        <v>18</v>
      </c>
      <c r="Y26" s="6">
        <v>19</v>
      </c>
      <c r="Z26" s="6">
        <v>20</v>
      </c>
      <c r="AA26" s="6" t="s">
        <v>2</v>
      </c>
    </row>
    <row r="27" spans="5:27" s="1" customFormat="1" ht="12.75">
      <c r="E27" s="3" t="s">
        <v>7</v>
      </c>
      <c r="F27" s="11">
        <f>B2</f>
        <v>40</v>
      </c>
      <c r="G27" s="11"/>
      <c r="H27" s="11"/>
      <c r="I27" s="11"/>
      <c r="J27" s="11"/>
      <c r="K27" s="11"/>
      <c r="L27" s="3"/>
      <c r="AA27" s="14"/>
    </row>
    <row r="28" spans="5:27" s="1" customFormat="1" ht="12.75">
      <c r="E28" s="3" t="s">
        <v>8</v>
      </c>
      <c r="F28" s="11">
        <f>F27</f>
        <v>40</v>
      </c>
      <c r="G28" s="11">
        <f>F28-G29</f>
        <v>38</v>
      </c>
      <c r="H28" s="11">
        <f>G28-H29</f>
        <v>36</v>
      </c>
      <c r="I28" s="11">
        <f>H28-I29</f>
        <v>34</v>
      </c>
      <c r="J28" s="11">
        <f>I28-J29</f>
        <v>32</v>
      </c>
      <c r="K28" s="11">
        <f>J28-K29</f>
        <v>30</v>
      </c>
      <c r="L28" s="11">
        <f aca="true" t="shared" si="2" ref="L28:Z28">K28-L29</f>
        <v>28</v>
      </c>
      <c r="M28" s="11">
        <f t="shared" si="2"/>
        <v>26</v>
      </c>
      <c r="N28" s="11">
        <f t="shared" si="2"/>
        <v>24</v>
      </c>
      <c r="O28" s="11">
        <f t="shared" si="2"/>
        <v>22</v>
      </c>
      <c r="P28" s="11">
        <f t="shared" si="2"/>
        <v>20</v>
      </c>
      <c r="Q28" s="11">
        <f t="shared" si="2"/>
        <v>18</v>
      </c>
      <c r="R28" s="11">
        <f t="shared" si="2"/>
        <v>16</v>
      </c>
      <c r="S28" s="11">
        <f t="shared" si="2"/>
        <v>14</v>
      </c>
      <c r="T28" s="11">
        <f t="shared" si="2"/>
        <v>12</v>
      </c>
      <c r="U28" s="11">
        <f t="shared" si="2"/>
        <v>10</v>
      </c>
      <c r="V28" s="11">
        <f t="shared" si="2"/>
        <v>8</v>
      </c>
      <c r="W28" s="11">
        <f t="shared" si="2"/>
        <v>6</v>
      </c>
      <c r="X28" s="11">
        <f t="shared" si="2"/>
        <v>4</v>
      </c>
      <c r="Y28" s="11">
        <f t="shared" si="2"/>
        <v>2</v>
      </c>
      <c r="Z28" s="11">
        <f t="shared" si="2"/>
        <v>0</v>
      </c>
      <c r="AA28" s="14"/>
    </row>
    <row r="29" spans="5:27" s="1" customFormat="1" ht="12.75">
      <c r="E29" s="3" t="s">
        <v>9</v>
      </c>
      <c r="F29" s="11"/>
      <c r="G29" s="11">
        <f>F24</f>
        <v>2</v>
      </c>
      <c r="H29" s="11">
        <f>G29</f>
        <v>2</v>
      </c>
      <c r="I29" s="11">
        <f>H29</f>
        <v>2</v>
      </c>
      <c r="J29" s="11">
        <f>I29</f>
        <v>2</v>
      </c>
      <c r="K29" s="11">
        <f>J29</f>
        <v>2</v>
      </c>
      <c r="L29" s="11">
        <f aca="true" t="shared" si="3" ref="L29:Z29">K29</f>
        <v>2</v>
      </c>
      <c r="M29" s="11">
        <f t="shared" si="3"/>
        <v>2</v>
      </c>
      <c r="N29" s="11">
        <f t="shared" si="3"/>
        <v>2</v>
      </c>
      <c r="O29" s="11">
        <f t="shared" si="3"/>
        <v>2</v>
      </c>
      <c r="P29" s="11">
        <f t="shared" si="3"/>
        <v>2</v>
      </c>
      <c r="Q29" s="11">
        <f t="shared" si="3"/>
        <v>2</v>
      </c>
      <c r="R29" s="11">
        <f t="shared" si="3"/>
        <v>2</v>
      </c>
      <c r="S29" s="11">
        <f t="shared" si="3"/>
        <v>2</v>
      </c>
      <c r="T29" s="11">
        <f t="shared" si="3"/>
        <v>2</v>
      </c>
      <c r="U29" s="11">
        <f t="shared" si="3"/>
        <v>2</v>
      </c>
      <c r="V29" s="11">
        <f t="shared" si="3"/>
        <v>2</v>
      </c>
      <c r="W29" s="11">
        <f t="shared" si="3"/>
        <v>2</v>
      </c>
      <c r="X29" s="11">
        <f t="shared" si="3"/>
        <v>2</v>
      </c>
      <c r="Y29" s="11">
        <f t="shared" si="3"/>
        <v>2</v>
      </c>
      <c r="Z29" s="11">
        <f t="shared" si="3"/>
        <v>2</v>
      </c>
      <c r="AA29" s="14"/>
    </row>
    <row r="30" spans="5:27" s="1" customFormat="1" ht="12.75">
      <c r="E30" s="3" t="s">
        <v>26</v>
      </c>
      <c r="F30" s="11"/>
      <c r="G30" s="11">
        <f>$F$23*F28</f>
        <v>0.4</v>
      </c>
      <c r="H30" s="11">
        <f aca="true" t="shared" si="4" ref="H30:Z30">$F$23*G28</f>
        <v>0.38</v>
      </c>
      <c r="I30" s="11">
        <f t="shared" si="4"/>
        <v>0.36</v>
      </c>
      <c r="J30" s="11">
        <f t="shared" si="4"/>
        <v>0.34</v>
      </c>
      <c r="K30" s="11">
        <f t="shared" si="4"/>
        <v>0.32</v>
      </c>
      <c r="L30" s="11">
        <f t="shared" si="4"/>
        <v>0.3</v>
      </c>
      <c r="M30" s="11">
        <f t="shared" si="4"/>
        <v>0.28</v>
      </c>
      <c r="N30" s="11">
        <f t="shared" si="4"/>
        <v>0.26</v>
      </c>
      <c r="O30" s="11">
        <f t="shared" si="4"/>
        <v>0.24</v>
      </c>
      <c r="P30" s="11">
        <f t="shared" si="4"/>
        <v>0.22</v>
      </c>
      <c r="Q30" s="11">
        <f t="shared" si="4"/>
        <v>0.2</v>
      </c>
      <c r="R30" s="11">
        <f t="shared" si="4"/>
        <v>0.18</v>
      </c>
      <c r="S30" s="11">
        <f t="shared" si="4"/>
        <v>0.16</v>
      </c>
      <c r="T30" s="11">
        <f t="shared" si="4"/>
        <v>0.14</v>
      </c>
      <c r="U30" s="11">
        <f t="shared" si="4"/>
        <v>0.12</v>
      </c>
      <c r="V30" s="11">
        <f t="shared" si="4"/>
        <v>0.1</v>
      </c>
      <c r="W30" s="11">
        <f t="shared" si="4"/>
        <v>0.08</v>
      </c>
      <c r="X30" s="11">
        <f t="shared" si="4"/>
        <v>0.06</v>
      </c>
      <c r="Y30" s="11">
        <f t="shared" si="4"/>
        <v>0.04</v>
      </c>
      <c r="Z30" s="11">
        <f t="shared" si="4"/>
        <v>0.02</v>
      </c>
      <c r="AA30" s="14"/>
    </row>
    <row r="31" spans="5:29" s="1" customFormat="1" ht="12.75">
      <c r="E31" s="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4"/>
      <c r="AC31" s="1" t="s">
        <v>0</v>
      </c>
    </row>
    <row r="32" spans="5:27" s="1" customFormat="1" ht="12.75">
      <c r="E32" s="3" t="s">
        <v>1</v>
      </c>
      <c r="F32" s="12">
        <f>F27</f>
        <v>40</v>
      </c>
      <c r="G32" s="12">
        <f>-G29-G30</f>
        <v>-2.4</v>
      </c>
      <c r="H32" s="12">
        <f>-H29-H30</f>
        <v>-2.38</v>
      </c>
      <c r="I32" s="12">
        <f>-I29-I30</f>
        <v>-2.36</v>
      </c>
      <c r="J32" s="12">
        <f>-J29-J30</f>
        <v>-2.34</v>
      </c>
      <c r="K32" s="12">
        <f>-K29-K30</f>
        <v>-2.32</v>
      </c>
      <c r="L32" s="12">
        <f aca="true" t="shared" si="5" ref="L32:Z32">-L29-L30</f>
        <v>-2.3</v>
      </c>
      <c r="M32" s="12">
        <f t="shared" si="5"/>
        <v>-2.2800000000000002</v>
      </c>
      <c r="N32" s="12">
        <f t="shared" si="5"/>
        <v>-2.26</v>
      </c>
      <c r="O32" s="12">
        <f t="shared" si="5"/>
        <v>-2.24</v>
      </c>
      <c r="P32" s="12">
        <f t="shared" si="5"/>
        <v>-2.22</v>
      </c>
      <c r="Q32" s="12">
        <f t="shared" si="5"/>
        <v>-2.2</v>
      </c>
      <c r="R32" s="12">
        <f t="shared" si="5"/>
        <v>-2.18</v>
      </c>
      <c r="S32" s="12">
        <f t="shared" si="5"/>
        <v>-2.16</v>
      </c>
      <c r="T32" s="12">
        <f t="shared" si="5"/>
        <v>-2.14</v>
      </c>
      <c r="U32" s="12">
        <f t="shared" si="5"/>
        <v>-2.12</v>
      </c>
      <c r="V32" s="12">
        <f t="shared" si="5"/>
        <v>-2.1</v>
      </c>
      <c r="W32" s="12">
        <f t="shared" si="5"/>
        <v>-2.08</v>
      </c>
      <c r="X32" s="12">
        <f t="shared" si="5"/>
        <v>-2.06</v>
      </c>
      <c r="Y32" s="12">
        <f t="shared" si="5"/>
        <v>-2.04</v>
      </c>
      <c r="Z32" s="12">
        <f t="shared" si="5"/>
        <v>-2.02</v>
      </c>
      <c r="AA32" s="15">
        <f>IRR(F32:Z32)</f>
        <v>0.010000000000000675</v>
      </c>
    </row>
    <row r="33" spans="5:27" s="1" customFormat="1" ht="12.75">
      <c r="E33" s="3"/>
      <c r="F33" s="3"/>
      <c r="G33" s="3"/>
      <c r="H33" s="3"/>
      <c r="I33" s="3"/>
      <c r="J33" s="3"/>
      <c r="K33" s="3"/>
      <c r="L33" s="3"/>
      <c r="AA33" s="3"/>
    </row>
    <row r="34" spans="5:8" s="1" customFormat="1" ht="12.75">
      <c r="E34" s="3" t="s">
        <v>27</v>
      </c>
      <c r="F34" s="1">
        <v>0.037</v>
      </c>
      <c r="H34" s="1" t="s">
        <v>30</v>
      </c>
    </row>
    <row r="35" spans="5:6" s="1" customFormat="1" ht="12.75">
      <c r="E35" s="3" t="s">
        <v>28</v>
      </c>
      <c r="F35" s="1">
        <f>((1+F34)^0.25)-1</f>
        <v>0.00912435777166598</v>
      </c>
    </row>
    <row r="36" s="1" customFormat="1" ht="12.75"/>
    <row r="37" spans="5:6" s="1" customFormat="1" ht="12.75">
      <c r="E37" s="3" t="s">
        <v>29</v>
      </c>
      <c r="F37" s="128">
        <f>F32+NPV(F35,G32:Z32)</f>
        <v>-0.34439814755098297</v>
      </c>
    </row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</sheetData>
  <sheetProtection/>
  <mergeCells count="1">
    <mergeCell ref="B8:G8"/>
  </mergeCells>
  <printOptions/>
  <pageMargins left="0.75" right="0.75" top="1" bottom="1" header="0.5" footer="0.5"/>
  <pageSetup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zoomScale="140" zoomScaleNormal="140" zoomScalePageLayoutView="0" workbookViewId="0" topLeftCell="A1">
      <selection activeCell="A1" sqref="A1:IV16384"/>
    </sheetView>
  </sheetViews>
  <sheetFormatPr defaultColWidth="9.140625" defaultRowHeight="12.75"/>
  <cols>
    <col min="1" max="1" width="27.7109375" style="54" customWidth="1"/>
    <col min="2" max="2" width="11.57421875" style="54" bestFit="1" customWidth="1"/>
    <col min="3" max="3" width="10.140625" style="54" customWidth="1"/>
    <col min="4" max="4" width="11.140625" style="54" customWidth="1"/>
    <col min="5" max="6" width="11.421875" style="54" customWidth="1"/>
    <col min="7" max="7" width="9.140625" style="54" customWidth="1"/>
    <col min="8" max="16384" width="11.421875" style="54" customWidth="1"/>
  </cols>
  <sheetData>
    <row r="1" ht="15">
      <c r="A1" s="61" t="s">
        <v>45</v>
      </c>
    </row>
    <row r="2" spans="1:2" ht="15">
      <c r="A2" s="54" t="s">
        <v>36</v>
      </c>
      <c r="B2" s="58">
        <v>58</v>
      </c>
    </row>
    <row r="3" spans="1:2" ht="15">
      <c r="A3" s="54" t="s">
        <v>34</v>
      </c>
      <c r="B3" s="130">
        <v>0</v>
      </c>
    </row>
    <row r="4" spans="1:2" ht="15">
      <c r="A4" s="54" t="s">
        <v>35</v>
      </c>
      <c r="B4" s="130">
        <v>0.04</v>
      </c>
    </row>
    <row r="6" spans="1:7" ht="15">
      <c r="A6" s="131"/>
      <c r="B6" s="164" t="s">
        <v>37</v>
      </c>
      <c r="C6" s="164"/>
      <c r="D6" s="164"/>
      <c r="E6" s="164"/>
      <c r="F6" s="164"/>
      <c r="G6" s="164"/>
    </row>
    <row r="7" spans="1:7" ht="15">
      <c r="A7" s="132"/>
      <c r="B7" s="133">
        <v>0</v>
      </c>
      <c r="C7" s="133">
        <v>1</v>
      </c>
      <c r="D7" s="133">
        <v>2</v>
      </c>
      <c r="E7" s="133">
        <v>3</v>
      </c>
      <c r="F7" s="133">
        <v>4</v>
      </c>
      <c r="G7" s="133">
        <v>5</v>
      </c>
    </row>
    <row r="8" spans="1:7" ht="21.75" customHeight="1">
      <c r="A8" s="134" t="s">
        <v>7</v>
      </c>
      <c r="B8" s="135">
        <f>B2</f>
        <v>58</v>
      </c>
      <c r="C8" s="135">
        <f>B8</f>
        <v>58</v>
      </c>
      <c r="D8" s="135">
        <f>C8</f>
        <v>58</v>
      </c>
      <c r="E8" s="135">
        <f>D8</f>
        <v>58</v>
      </c>
      <c r="F8" s="135">
        <f>E8</f>
        <v>58</v>
      </c>
      <c r="G8" s="135">
        <v>0</v>
      </c>
    </row>
    <row r="9" spans="1:7" ht="18" customHeight="1">
      <c r="A9" s="134" t="s">
        <v>31</v>
      </c>
      <c r="B9" s="135">
        <f>B8</f>
        <v>58</v>
      </c>
      <c r="C9" s="135">
        <f>B9+C8</f>
        <v>116</v>
      </c>
      <c r="D9" s="135">
        <f>C9+D8</f>
        <v>174</v>
      </c>
      <c r="E9" s="135">
        <f>D9+E8</f>
        <v>232</v>
      </c>
      <c r="F9" s="135">
        <f>E9+F8</f>
        <v>290</v>
      </c>
      <c r="G9" s="135">
        <f>F9+G8</f>
        <v>290</v>
      </c>
    </row>
    <row r="10" spans="1:7" ht="18.75" customHeight="1">
      <c r="A10" s="134" t="s">
        <v>32</v>
      </c>
      <c r="B10" s="135">
        <f>B9</f>
        <v>58</v>
      </c>
      <c r="C10" s="136">
        <f>(B10*(1+$B$4))+C8</f>
        <v>118.32</v>
      </c>
      <c r="D10" s="136">
        <f>(C10*(1+$B$4))+D8</f>
        <v>181.0528</v>
      </c>
      <c r="E10" s="136">
        <f>(D10*(1+$B$4))+E8</f>
        <v>246.294912</v>
      </c>
      <c r="F10" s="136">
        <f>(E10*(1+$B$4))+F8</f>
        <v>314.14670848000003</v>
      </c>
      <c r="G10" s="136">
        <f>(F10*(1+$B$4))+G8</f>
        <v>326.7125768192</v>
      </c>
    </row>
    <row r="11" spans="1:7" ht="15.75" customHeight="1">
      <c r="A11" s="134" t="s">
        <v>33</v>
      </c>
      <c r="B11" s="136">
        <f aca="true" t="shared" si="0" ref="B11:G11">B10-B9</f>
        <v>0</v>
      </c>
      <c r="C11" s="136">
        <f t="shared" si="0"/>
        <v>2.319999999999993</v>
      </c>
      <c r="D11" s="136">
        <f t="shared" si="0"/>
        <v>7.052799999999991</v>
      </c>
      <c r="E11" s="136">
        <f t="shared" si="0"/>
        <v>14.29491200000001</v>
      </c>
      <c r="F11" s="136">
        <f t="shared" si="0"/>
        <v>24.14670848000003</v>
      </c>
      <c r="G11" s="136">
        <f t="shared" si="0"/>
        <v>36.712576819200024</v>
      </c>
    </row>
    <row r="12" spans="1:7" ht="16.5" customHeight="1" thickBot="1">
      <c r="A12" s="137" t="s">
        <v>38</v>
      </c>
      <c r="B12" s="138">
        <f>G11/((1+B4)^5)</f>
        <v>30.17506204668551</v>
      </c>
      <c r="C12" s="139"/>
      <c r="D12" s="139"/>
      <c r="E12" s="137"/>
      <c r="F12" s="139"/>
      <c r="G12" s="139"/>
    </row>
    <row r="13" ht="15.75" thickTop="1"/>
  </sheetData>
  <sheetProtection/>
  <mergeCells count="1">
    <mergeCell ref="B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6"/>
  <sheetViews>
    <sheetView zoomScale="140" zoomScaleNormal="140" zoomScalePageLayoutView="0" workbookViewId="0" topLeftCell="A26">
      <selection activeCell="S23" sqref="S23"/>
    </sheetView>
  </sheetViews>
  <sheetFormatPr defaultColWidth="9.140625" defaultRowHeight="12.75"/>
  <cols>
    <col min="1" max="1" width="10.28125" style="62" customWidth="1"/>
    <col min="2" max="2" width="12.421875" style="62" customWidth="1"/>
    <col min="3" max="12" width="7.57421875" style="62" customWidth="1"/>
    <col min="13" max="13" width="7.57421875" style="117" customWidth="1"/>
    <col min="14" max="14" width="7.57421875" style="140" customWidth="1"/>
    <col min="15" max="15" width="8.00390625" style="62" customWidth="1"/>
    <col min="16" max="16" width="7.8515625" style="62" customWidth="1"/>
    <col min="17" max="17" width="8.140625" style="62" customWidth="1"/>
    <col min="18" max="16384" width="11.421875" style="62" customWidth="1"/>
  </cols>
  <sheetData>
    <row r="1" ht="15">
      <c r="A1" s="61" t="s">
        <v>45</v>
      </c>
    </row>
    <row r="2" spans="1:12" ht="15">
      <c r="A2" s="62" t="s">
        <v>3</v>
      </c>
      <c r="B2" s="115">
        <v>2000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15">
      <c r="A3" s="62" t="s">
        <v>6</v>
      </c>
      <c r="B3" s="113">
        <v>0.06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1:12" ht="15">
      <c r="A4" s="62" t="s">
        <v>5</v>
      </c>
      <c r="B4" s="113">
        <v>0.27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4" s="112" customFormat="1" ht="15">
      <c r="A5" s="62" t="s">
        <v>14</v>
      </c>
      <c r="B5" s="115">
        <v>10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N5" s="141"/>
    </row>
    <row r="6" spans="1:14" s="112" customFormat="1" ht="15">
      <c r="A6" s="62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  <c r="N6" s="141"/>
    </row>
    <row r="7" spans="1:15" s="112" customFormat="1" ht="15">
      <c r="A7" s="62" t="s">
        <v>19</v>
      </c>
      <c r="B7" s="160" t="s">
        <v>37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57"/>
      <c r="N7" s="142"/>
      <c r="O7" s="142"/>
    </row>
    <row r="8" spans="1:21" s="117" customFormat="1" ht="15">
      <c r="A8" s="105"/>
      <c r="B8" s="118">
        <v>0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  <c r="I8" s="118">
        <v>7</v>
      </c>
      <c r="J8" s="118">
        <v>8</v>
      </c>
      <c r="K8" s="118">
        <v>9</v>
      </c>
      <c r="L8" s="118">
        <v>10</v>
      </c>
      <c r="M8" s="143" t="s">
        <v>18</v>
      </c>
      <c r="N8" s="118" t="s">
        <v>2</v>
      </c>
      <c r="O8" s="144"/>
      <c r="P8" s="144"/>
      <c r="Q8" s="144"/>
      <c r="R8" s="144"/>
      <c r="S8" s="144"/>
      <c r="T8" s="144"/>
      <c r="U8" s="144"/>
    </row>
    <row r="9" spans="1:14" s="112" customFormat="1" ht="15">
      <c r="A9" s="62" t="s">
        <v>7</v>
      </c>
      <c r="B9" s="140">
        <f>B2</f>
        <v>2000</v>
      </c>
      <c r="C9" s="140"/>
      <c r="D9" s="140"/>
      <c r="E9" s="140"/>
      <c r="F9" s="140"/>
      <c r="G9" s="140"/>
      <c r="H9" s="141"/>
      <c r="I9" s="115"/>
      <c r="J9" s="115"/>
      <c r="K9" s="115"/>
      <c r="L9" s="115"/>
      <c r="M9" s="154"/>
      <c r="N9" s="140"/>
    </row>
    <row r="10" spans="1:14" s="112" customFormat="1" ht="15">
      <c r="A10" s="62" t="s">
        <v>16</v>
      </c>
      <c r="B10" s="140"/>
      <c r="C10" s="140">
        <f>-PMT(B3,B5,B2)</f>
        <v>271.73591644076765</v>
      </c>
      <c r="D10" s="140">
        <f aca="true" t="shared" si="0" ref="D10:L10">C10</f>
        <v>271.73591644076765</v>
      </c>
      <c r="E10" s="140">
        <f t="shared" si="0"/>
        <v>271.73591644076765</v>
      </c>
      <c r="F10" s="140">
        <f t="shared" si="0"/>
        <v>271.73591644076765</v>
      </c>
      <c r="G10" s="140">
        <f t="shared" si="0"/>
        <v>271.73591644076765</v>
      </c>
      <c r="H10" s="140">
        <f t="shared" si="0"/>
        <v>271.73591644076765</v>
      </c>
      <c r="I10" s="140">
        <f t="shared" si="0"/>
        <v>271.73591644076765</v>
      </c>
      <c r="J10" s="140">
        <f t="shared" si="0"/>
        <v>271.73591644076765</v>
      </c>
      <c r="K10" s="140">
        <f t="shared" si="0"/>
        <v>271.73591644076765</v>
      </c>
      <c r="L10" s="140">
        <f t="shared" si="0"/>
        <v>271.73591644076765</v>
      </c>
      <c r="M10" s="154">
        <f>SUM(C10:L10)</f>
        <v>2717.3591644076764</v>
      </c>
      <c r="N10" s="140"/>
    </row>
    <row r="11" spans="1:14" s="112" customFormat="1" ht="15">
      <c r="A11" s="62" t="s">
        <v>8</v>
      </c>
      <c r="B11" s="140">
        <f>B9</f>
        <v>2000</v>
      </c>
      <c r="C11" s="140">
        <f aca="true" t="shared" si="1" ref="C11:L11">B11+C12</f>
        <v>1848.2640835592324</v>
      </c>
      <c r="D11" s="140">
        <f t="shared" si="1"/>
        <v>1687.4240121320186</v>
      </c>
      <c r="E11" s="140">
        <f t="shared" si="1"/>
        <v>1516.933536419172</v>
      </c>
      <c r="F11" s="140">
        <f t="shared" si="1"/>
        <v>1336.2136321635546</v>
      </c>
      <c r="G11" s="140">
        <f t="shared" si="1"/>
        <v>1144.6505336526002</v>
      </c>
      <c r="H11" s="140">
        <f t="shared" si="1"/>
        <v>941.5936492309886</v>
      </c>
      <c r="I11" s="140">
        <f t="shared" si="1"/>
        <v>726.3533517440803</v>
      </c>
      <c r="J11" s="140">
        <f t="shared" si="1"/>
        <v>498.1986364079575</v>
      </c>
      <c r="K11" s="140">
        <f t="shared" si="1"/>
        <v>256.3546381516673</v>
      </c>
      <c r="L11" s="140">
        <f t="shared" si="1"/>
        <v>0</v>
      </c>
      <c r="M11" s="154"/>
      <c r="N11" s="140"/>
    </row>
    <row r="12" spans="1:14" s="112" customFormat="1" ht="15">
      <c r="A12" s="62" t="s">
        <v>9</v>
      </c>
      <c r="B12" s="140"/>
      <c r="C12" s="140">
        <f aca="true" t="shared" si="2" ref="C12:L12">-C10-C13</f>
        <v>-151.73591644076765</v>
      </c>
      <c r="D12" s="140">
        <f t="shared" si="2"/>
        <v>-160.84007142721373</v>
      </c>
      <c r="E12" s="140">
        <f t="shared" si="2"/>
        <v>-170.49047571284655</v>
      </c>
      <c r="F12" s="140">
        <f t="shared" si="2"/>
        <v>-180.71990425561734</v>
      </c>
      <c r="G12" s="140">
        <f t="shared" si="2"/>
        <v>-191.56309851095438</v>
      </c>
      <c r="H12" s="140">
        <f t="shared" si="2"/>
        <v>-203.05688442161164</v>
      </c>
      <c r="I12" s="140">
        <f t="shared" si="2"/>
        <v>-215.24029748690833</v>
      </c>
      <c r="J12" s="140">
        <f t="shared" si="2"/>
        <v>-228.15471533612282</v>
      </c>
      <c r="K12" s="140">
        <f t="shared" si="2"/>
        <v>-241.8439982562902</v>
      </c>
      <c r="L12" s="140">
        <f t="shared" si="2"/>
        <v>-256.3546381516676</v>
      </c>
      <c r="M12" s="154">
        <f>SUM(C12:L12)</f>
        <v>-2000</v>
      </c>
      <c r="N12" s="140"/>
    </row>
    <row r="13" spans="1:14" s="112" customFormat="1" ht="15">
      <c r="A13" s="105" t="s">
        <v>10</v>
      </c>
      <c r="B13" s="118"/>
      <c r="C13" s="118">
        <f aca="true" t="shared" si="3" ref="C13:L13">-$B$3*B11</f>
        <v>-120</v>
      </c>
      <c r="D13" s="118">
        <f t="shared" si="3"/>
        <v>-110.89584501355394</v>
      </c>
      <c r="E13" s="118">
        <f t="shared" si="3"/>
        <v>-101.2454407279211</v>
      </c>
      <c r="F13" s="118">
        <f t="shared" si="3"/>
        <v>-91.01601218515032</v>
      </c>
      <c r="G13" s="118">
        <f t="shared" si="3"/>
        <v>-80.17281792981328</v>
      </c>
      <c r="H13" s="118">
        <f t="shared" si="3"/>
        <v>-68.67903201915601</v>
      </c>
      <c r="I13" s="118">
        <f t="shared" si="3"/>
        <v>-56.495618953859314</v>
      </c>
      <c r="J13" s="118">
        <f t="shared" si="3"/>
        <v>-43.58120110464482</v>
      </c>
      <c r="K13" s="118">
        <f t="shared" si="3"/>
        <v>-29.89191818447745</v>
      </c>
      <c r="L13" s="118">
        <f t="shared" si="3"/>
        <v>-15.381278289100038</v>
      </c>
      <c r="M13" s="143">
        <f>SUM(C13:L13)</f>
        <v>-717.3591644076763</v>
      </c>
      <c r="N13" s="140"/>
    </row>
    <row r="14" spans="1:18" s="112" customFormat="1" ht="15">
      <c r="A14" s="62" t="s">
        <v>1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54"/>
      <c r="N14" s="140"/>
      <c r="R14" s="112" t="s">
        <v>0</v>
      </c>
    </row>
    <row r="15" spans="1:14" s="112" customFormat="1" ht="15">
      <c r="A15" s="121" t="s">
        <v>11</v>
      </c>
      <c r="B15" s="149">
        <f>B9</f>
        <v>2000</v>
      </c>
      <c r="C15" s="149">
        <f aca="true" t="shared" si="4" ref="C15:L15">C12+C13</f>
        <v>-271.73591644076765</v>
      </c>
      <c r="D15" s="149">
        <f t="shared" si="4"/>
        <v>-271.73591644076765</v>
      </c>
      <c r="E15" s="149">
        <f t="shared" si="4"/>
        <v>-271.73591644076765</v>
      </c>
      <c r="F15" s="149">
        <f t="shared" si="4"/>
        <v>-271.73591644076765</v>
      </c>
      <c r="G15" s="149">
        <f t="shared" si="4"/>
        <v>-271.73591644076765</v>
      </c>
      <c r="H15" s="149">
        <f t="shared" si="4"/>
        <v>-271.73591644076765</v>
      </c>
      <c r="I15" s="149">
        <f t="shared" si="4"/>
        <v>-271.73591644076765</v>
      </c>
      <c r="J15" s="149">
        <f t="shared" si="4"/>
        <v>-271.73591644076765</v>
      </c>
      <c r="K15" s="149">
        <f t="shared" si="4"/>
        <v>-271.73591644076765</v>
      </c>
      <c r="L15" s="149">
        <f t="shared" si="4"/>
        <v>-271.7359164407676</v>
      </c>
      <c r="M15" s="155">
        <f>SUM(C15:L15)</f>
        <v>-2717.3591644076764</v>
      </c>
      <c r="N15" s="145">
        <f>IRR(B15:L15)</f>
        <v>0.06000000000006067</v>
      </c>
    </row>
    <row r="16" spans="1:14" s="112" customFormat="1" ht="15">
      <c r="A16" s="105" t="s">
        <v>12</v>
      </c>
      <c r="B16" s="118"/>
      <c r="C16" s="118">
        <f aca="true" t="shared" si="5" ref="C16:L16">-$B$4*C13</f>
        <v>32.400000000000006</v>
      </c>
      <c r="D16" s="118">
        <f t="shared" si="5"/>
        <v>29.941878153659566</v>
      </c>
      <c r="E16" s="118">
        <f t="shared" si="5"/>
        <v>27.3362689965387</v>
      </c>
      <c r="F16" s="118">
        <f t="shared" si="5"/>
        <v>24.574323289990588</v>
      </c>
      <c r="G16" s="118">
        <f t="shared" si="5"/>
        <v>21.646660841049588</v>
      </c>
      <c r="H16" s="118">
        <f t="shared" si="5"/>
        <v>18.543338645172124</v>
      </c>
      <c r="I16" s="118">
        <f t="shared" si="5"/>
        <v>15.253817117542015</v>
      </c>
      <c r="J16" s="118">
        <f t="shared" si="5"/>
        <v>11.766924298254102</v>
      </c>
      <c r="K16" s="118">
        <f t="shared" si="5"/>
        <v>8.070817909808913</v>
      </c>
      <c r="L16" s="118">
        <f t="shared" si="5"/>
        <v>4.15294513805701</v>
      </c>
      <c r="M16" s="143">
        <f>SUM(C16:L16)</f>
        <v>193.68697439007263</v>
      </c>
      <c r="N16" s="65"/>
    </row>
    <row r="17" spans="1:14" s="112" customFormat="1" ht="15">
      <c r="A17" s="62" t="s">
        <v>1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54"/>
      <c r="N17" s="65"/>
    </row>
    <row r="18" spans="1:14" s="112" customFormat="1" ht="15.75" thickBot="1">
      <c r="A18" s="124" t="s">
        <v>13</v>
      </c>
      <c r="B18" s="153">
        <f aca="true" t="shared" si="6" ref="B18:G18">B15+B16</f>
        <v>2000</v>
      </c>
      <c r="C18" s="153">
        <f t="shared" si="6"/>
        <v>-239.33591644076765</v>
      </c>
      <c r="D18" s="153">
        <f t="shared" si="6"/>
        <v>-241.7940382871081</v>
      </c>
      <c r="E18" s="153">
        <f t="shared" si="6"/>
        <v>-244.39964744422895</v>
      </c>
      <c r="F18" s="153">
        <f t="shared" si="6"/>
        <v>-247.16159315077707</v>
      </c>
      <c r="G18" s="153">
        <f t="shared" si="6"/>
        <v>-250.08925559971806</v>
      </c>
      <c r="H18" s="153">
        <f>H15+H16</f>
        <v>-253.19257779559553</v>
      </c>
      <c r="I18" s="153">
        <f>I15+I16</f>
        <v>-256.4820993232256</v>
      </c>
      <c r="J18" s="153">
        <f>J15+J16</f>
        <v>-259.96899214251357</v>
      </c>
      <c r="K18" s="153">
        <f>K15+K16</f>
        <v>-263.66509853095874</v>
      </c>
      <c r="L18" s="153">
        <f>L15+L16</f>
        <v>-267.5829713027106</v>
      </c>
      <c r="M18" s="156">
        <f>SUM(C18:L18)</f>
        <v>-2523.672190017604</v>
      </c>
      <c r="N18" s="146">
        <f>IRR(B18:L18)</f>
        <v>0.04380000000000006</v>
      </c>
    </row>
    <row r="19" spans="2:14" s="112" customFormat="1" ht="15.75" thickTop="1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54"/>
      <c r="N19" s="141"/>
    </row>
    <row r="20" spans="1:14" s="112" customFormat="1" ht="15">
      <c r="A20" s="62" t="s">
        <v>20</v>
      </c>
      <c r="B20" s="140"/>
      <c r="C20" s="140"/>
      <c r="D20" s="140"/>
      <c r="E20" s="140"/>
      <c r="F20" s="140"/>
      <c r="G20" s="140"/>
      <c r="H20" s="141"/>
      <c r="I20" s="115"/>
      <c r="J20" s="115"/>
      <c r="K20" s="115"/>
      <c r="L20" s="115"/>
      <c r="M20" s="154"/>
      <c r="N20" s="140" t="s">
        <v>15</v>
      </c>
    </row>
    <row r="21" spans="1:14" s="54" customFormat="1" ht="15">
      <c r="A21" s="105"/>
      <c r="B21" s="118">
        <v>0</v>
      </c>
      <c r="C21" s="118">
        <v>1</v>
      </c>
      <c r="D21" s="118">
        <v>2</v>
      </c>
      <c r="E21" s="118">
        <v>3</v>
      </c>
      <c r="F21" s="118">
        <v>4</v>
      </c>
      <c r="G21" s="118">
        <v>5</v>
      </c>
      <c r="H21" s="118">
        <v>6</v>
      </c>
      <c r="I21" s="118">
        <v>7</v>
      </c>
      <c r="J21" s="118">
        <v>8</v>
      </c>
      <c r="K21" s="118">
        <v>9</v>
      </c>
      <c r="L21" s="118">
        <v>10</v>
      </c>
      <c r="M21" s="143" t="s">
        <v>18</v>
      </c>
      <c r="N21" s="118" t="s">
        <v>2</v>
      </c>
    </row>
    <row r="22" spans="1:14" s="54" customFormat="1" ht="15">
      <c r="A22" s="62" t="s">
        <v>7</v>
      </c>
      <c r="B22" s="140">
        <f>B2</f>
        <v>2000</v>
      </c>
      <c r="C22" s="140"/>
      <c r="D22" s="140"/>
      <c r="E22" s="140"/>
      <c r="F22" s="140"/>
      <c r="G22" s="140"/>
      <c r="H22" s="141"/>
      <c r="I22" s="115"/>
      <c r="J22" s="115"/>
      <c r="K22" s="115"/>
      <c r="L22" s="115"/>
      <c r="M22" s="154"/>
      <c r="N22" s="140"/>
    </row>
    <row r="23" spans="1:17" s="54" customFormat="1" ht="15">
      <c r="A23" s="62" t="s">
        <v>8</v>
      </c>
      <c r="B23" s="140">
        <f>B22</f>
        <v>2000</v>
      </c>
      <c r="C23" s="140">
        <f aca="true" t="shared" si="7" ref="C23:L23">B23+C24</f>
        <v>1800</v>
      </c>
      <c r="D23" s="140">
        <f t="shared" si="7"/>
        <v>1600</v>
      </c>
      <c r="E23" s="140">
        <f t="shared" si="7"/>
        <v>1400</v>
      </c>
      <c r="F23" s="140">
        <f t="shared" si="7"/>
        <v>1200</v>
      </c>
      <c r="G23" s="140">
        <f t="shared" si="7"/>
        <v>1000</v>
      </c>
      <c r="H23" s="140">
        <f t="shared" si="7"/>
        <v>800</v>
      </c>
      <c r="I23" s="140">
        <f t="shared" si="7"/>
        <v>600</v>
      </c>
      <c r="J23" s="140">
        <f t="shared" si="7"/>
        <v>400</v>
      </c>
      <c r="K23" s="140">
        <f t="shared" si="7"/>
        <v>200</v>
      </c>
      <c r="L23" s="140">
        <f t="shared" si="7"/>
        <v>0</v>
      </c>
      <c r="M23" s="154"/>
      <c r="N23" s="140"/>
      <c r="Q23" s="54" t="s">
        <v>0</v>
      </c>
    </row>
    <row r="24" spans="1:14" s="54" customFormat="1" ht="15">
      <c r="A24" s="62" t="s">
        <v>9</v>
      </c>
      <c r="B24" s="140"/>
      <c r="C24" s="140">
        <f>-B2/B5</f>
        <v>-200</v>
      </c>
      <c r="D24" s="140">
        <f>C24</f>
        <v>-200</v>
      </c>
      <c r="E24" s="140">
        <f aca="true" t="shared" si="8" ref="E24:L24">D24</f>
        <v>-200</v>
      </c>
      <c r="F24" s="140">
        <f t="shared" si="8"/>
        <v>-200</v>
      </c>
      <c r="G24" s="140">
        <f t="shared" si="8"/>
        <v>-200</v>
      </c>
      <c r="H24" s="140">
        <f t="shared" si="8"/>
        <v>-200</v>
      </c>
      <c r="I24" s="140">
        <f t="shared" si="8"/>
        <v>-200</v>
      </c>
      <c r="J24" s="140">
        <f t="shared" si="8"/>
        <v>-200</v>
      </c>
      <c r="K24" s="140">
        <f t="shared" si="8"/>
        <v>-200</v>
      </c>
      <c r="L24" s="140">
        <f t="shared" si="8"/>
        <v>-200</v>
      </c>
      <c r="M24" s="154">
        <f>SUM(C24:L24)</f>
        <v>-2000</v>
      </c>
      <c r="N24" s="140"/>
    </row>
    <row r="25" spans="1:14" s="54" customFormat="1" ht="15">
      <c r="A25" s="105" t="s">
        <v>10</v>
      </c>
      <c r="B25" s="118"/>
      <c r="C25" s="118">
        <f aca="true" t="shared" si="9" ref="C25:L25">-$B$3*B23</f>
        <v>-120</v>
      </c>
      <c r="D25" s="118">
        <f t="shared" si="9"/>
        <v>-108</v>
      </c>
      <c r="E25" s="118">
        <f t="shared" si="9"/>
        <v>-96</v>
      </c>
      <c r="F25" s="118">
        <f t="shared" si="9"/>
        <v>-84</v>
      </c>
      <c r="G25" s="118">
        <f t="shared" si="9"/>
        <v>-72</v>
      </c>
      <c r="H25" s="118">
        <f t="shared" si="9"/>
        <v>-60</v>
      </c>
      <c r="I25" s="118">
        <f t="shared" si="9"/>
        <v>-48</v>
      </c>
      <c r="J25" s="118">
        <f t="shared" si="9"/>
        <v>-36</v>
      </c>
      <c r="K25" s="118">
        <f t="shared" si="9"/>
        <v>-24</v>
      </c>
      <c r="L25" s="118">
        <f t="shared" si="9"/>
        <v>-12</v>
      </c>
      <c r="M25" s="143">
        <f>SUM(C25:L25)</f>
        <v>-660</v>
      </c>
      <c r="N25" s="140"/>
    </row>
    <row r="26" spans="1:14" s="54" customFormat="1" ht="15">
      <c r="A26" s="62" t="s">
        <v>1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54"/>
      <c r="N26" s="140"/>
    </row>
    <row r="27" spans="1:14" s="54" customFormat="1" ht="15">
      <c r="A27" s="121" t="s">
        <v>11</v>
      </c>
      <c r="B27" s="149">
        <f>B22</f>
        <v>2000</v>
      </c>
      <c r="C27" s="149">
        <f aca="true" t="shared" si="10" ref="C27:L27">C24+C25</f>
        <v>-320</v>
      </c>
      <c r="D27" s="149">
        <f t="shared" si="10"/>
        <v>-308</v>
      </c>
      <c r="E27" s="149">
        <f t="shared" si="10"/>
        <v>-296</v>
      </c>
      <c r="F27" s="149">
        <f t="shared" si="10"/>
        <v>-284</v>
      </c>
      <c r="G27" s="149">
        <f t="shared" si="10"/>
        <v>-272</v>
      </c>
      <c r="H27" s="149">
        <f t="shared" si="10"/>
        <v>-260</v>
      </c>
      <c r="I27" s="149">
        <f t="shared" si="10"/>
        <v>-248</v>
      </c>
      <c r="J27" s="149">
        <f t="shared" si="10"/>
        <v>-236</v>
      </c>
      <c r="K27" s="149">
        <f t="shared" si="10"/>
        <v>-224</v>
      </c>
      <c r="L27" s="149">
        <f t="shared" si="10"/>
        <v>-212</v>
      </c>
      <c r="M27" s="155">
        <f>SUM(C27:L27)</f>
        <v>-2660</v>
      </c>
      <c r="N27" s="145">
        <f>IRR(B27:L27)</f>
        <v>0.06000000000002981</v>
      </c>
    </row>
    <row r="28" spans="1:14" s="54" customFormat="1" ht="15">
      <c r="A28" s="105" t="s">
        <v>12</v>
      </c>
      <c r="B28" s="118"/>
      <c r="C28" s="118">
        <f aca="true" t="shared" si="11" ref="C28:L28">-$B$4*C25</f>
        <v>32.400000000000006</v>
      </c>
      <c r="D28" s="118">
        <f t="shared" si="11"/>
        <v>29.160000000000004</v>
      </c>
      <c r="E28" s="118">
        <f t="shared" si="11"/>
        <v>25.92</v>
      </c>
      <c r="F28" s="118">
        <f t="shared" si="11"/>
        <v>22.68</v>
      </c>
      <c r="G28" s="118">
        <f t="shared" si="11"/>
        <v>19.44</v>
      </c>
      <c r="H28" s="118">
        <f t="shared" si="11"/>
        <v>16.200000000000003</v>
      </c>
      <c r="I28" s="118">
        <f t="shared" si="11"/>
        <v>12.96</v>
      </c>
      <c r="J28" s="118">
        <f t="shared" si="11"/>
        <v>9.72</v>
      </c>
      <c r="K28" s="118">
        <f t="shared" si="11"/>
        <v>6.48</v>
      </c>
      <c r="L28" s="118">
        <f t="shared" si="11"/>
        <v>3.24</v>
      </c>
      <c r="M28" s="143">
        <f>SUM(C28:L28)</f>
        <v>178.20000000000002</v>
      </c>
      <c r="N28" s="65"/>
    </row>
    <row r="29" spans="1:14" s="54" customFormat="1" ht="15">
      <c r="A29" s="62" t="s">
        <v>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54"/>
      <c r="N29" s="65"/>
    </row>
    <row r="30" spans="1:14" s="54" customFormat="1" ht="15.75" thickBot="1">
      <c r="A30" s="124" t="s">
        <v>13</v>
      </c>
      <c r="B30" s="153">
        <f aca="true" t="shared" si="12" ref="B30:L30">B27+B28</f>
        <v>2000</v>
      </c>
      <c r="C30" s="153">
        <f t="shared" si="12"/>
        <v>-287.6</v>
      </c>
      <c r="D30" s="153">
        <f t="shared" si="12"/>
        <v>-278.84</v>
      </c>
      <c r="E30" s="153">
        <f t="shared" si="12"/>
        <v>-270.08</v>
      </c>
      <c r="F30" s="153">
        <f t="shared" si="12"/>
        <v>-261.32</v>
      </c>
      <c r="G30" s="153">
        <f t="shared" si="12"/>
        <v>-252.56</v>
      </c>
      <c r="H30" s="153">
        <f t="shared" si="12"/>
        <v>-243.8</v>
      </c>
      <c r="I30" s="153">
        <f t="shared" si="12"/>
        <v>-235.04</v>
      </c>
      <c r="J30" s="153">
        <f t="shared" si="12"/>
        <v>-226.28</v>
      </c>
      <c r="K30" s="153">
        <f t="shared" si="12"/>
        <v>-217.52</v>
      </c>
      <c r="L30" s="153">
        <f t="shared" si="12"/>
        <v>-208.76</v>
      </c>
      <c r="M30" s="156">
        <f>SUM(C30:L30)</f>
        <v>-2481.8</v>
      </c>
      <c r="N30" s="146">
        <f>IRR(B30:L30)</f>
        <v>0.043800000004522666</v>
      </c>
    </row>
    <row r="31" spans="1:14" s="54" customFormat="1" ht="15.75" thickTop="1">
      <c r="A31" s="121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5"/>
      <c r="N31" s="145"/>
    </row>
    <row r="32" spans="2:14" s="54" customFormat="1" ht="15">
      <c r="B32" s="140"/>
      <c r="C32" s="165" t="s">
        <v>37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54"/>
      <c r="N32" s="57"/>
    </row>
    <row r="33" spans="1:14" s="54" customFormat="1" ht="15">
      <c r="A33" s="62"/>
      <c r="B33" s="118"/>
      <c r="C33" s="118">
        <v>1</v>
      </c>
      <c r="D33" s="118">
        <v>2</v>
      </c>
      <c r="E33" s="118">
        <v>3</v>
      </c>
      <c r="F33" s="118">
        <v>4</v>
      </c>
      <c r="G33" s="118">
        <v>5</v>
      </c>
      <c r="H33" s="118">
        <v>6</v>
      </c>
      <c r="I33" s="118">
        <v>7</v>
      </c>
      <c r="J33" s="118">
        <v>8</v>
      </c>
      <c r="K33" s="118">
        <v>9</v>
      </c>
      <c r="L33" s="118">
        <v>10</v>
      </c>
      <c r="M33" s="143" t="s">
        <v>18</v>
      </c>
      <c r="N33" s="57"/>
    </row>
    <row r="34" spans="1:14" s="54" customFormat="1" ht="15">
      <c r="A34" s="62"/>
      <c r="B34" s="147" t="s">
        <v>9</v>
      </c>
      <c r="C34" s="140" t="s">
        <v>0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54"/>
      <c r="N34" s="57"/>
    </row>
    <row r="35" spans="1:15" s="54" customFormat="1" ht="15">
      <c r="A35" s="62"/>
      <c r="B35" s="148" t="s">
        <v>22</v>
      </c>
      <c r="C35" s="149">
        <f aca="true" t="shared" si="13" ref="C35:M35">-C12:M12</f>
        <v>151.73591644076765</v>
      </c>
      <c r="D35" s="149">
        <f t="shared" si="13"/>
        <v>160.84007142721373</v>
      </c>
      <c r="E35" s="149">
        <f t="shared" si="13"/>
        <v>170.49047571284655</v>
      </c>
      <c r="F35" s="149">
        <f t="shared" si="13"/>
        <v>180.71990425561734</v>
      </c>
      <c r="G35" s="149">
        <f t="shared" si="13"/>
        <v>191.56309851095438</v>
      </c>
      <c r="H35" s="149">
        <f t="shared" si="13"/>
        <v>203.05688442161164</v>
      </c>
      <c r="I35" s="149">
        <f t="shared" si="13"/>
        <v>215.24029748690833</v>
      </c>
      <c r="J35" s="149">
        <f t="shared" si="13"/>
        <v>228.15471533612282</v>
      </c>
      <c r="K35" s="149">
        <f t="shared" si="13"/>
        <v>241.8439982562902</v>
      </c>
      <c r="L35" s="149">
        <f t="shared" si="13"/>
        <v>256.3546381516676</v>
      </c>
      <c r="M35" s="155">
        <f t="shared" si="13"/>
        <v>2000</v>
      </c>
      <c r="N35" s="57"/>
      <c r="O35" s="150"/>
    </row>
    <row r="36" spans="1:14" s="54" customFormat="1" ht="15">
      <c r="A36" s="62"/>
      <c r="B36" s="151" t="s">
        <v>21</v>
      </c>
      <c r="C36" s="118">
        <f aca="true" t="shared" si="14" ref="C36:M36">-C24</f>
        <v>200</v>
      </c>
      <c r="D36" s="118">
        <f t="shared" si="14"/>
        <v>200</v>
      </c>
      <c r="E36" s="118">
        <f t="shared" si="14"/>
        <v>200</v>
      </c>
      <c r="F36" s="118">
        <f t="shared" si="14"/>
        <v>200</v>
      </c>
      <c r="G36" s="118">
        <f t="shared" si="14"/>
        <v>200</v>
      </c>
      <c r="H36" s="118">
        <f t="shared" si="14"/>
        <v>200</v>
      </c>
      <c r="I36" s="118">
        <f t="shared" si="14"/>
        <v>200</v>
      </c>
      <c r="J36" s="118">
        <f t="shared" si="14"/>
        <v>200</v>
      </c>
      <c r="K36" s="118">
        <f t="shared" si="14"/>
        <v>200</v>
      </c>
      <c r="L36" s="118">
        <f t="shared" si="14"/>
        <v>200</v>
      </c>
      <c r="M36" s="143">
        <f t="shared" si="14"/>
        <v>2000</v>
      </c>
      <c r="N36" s="57"/>
    </row>
    <row r="37" spans="1:14" s="54" customFormat="1" ht="15">
      <c r="A37" s="62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55"/>
      <c r="N37" s="57"/>
    </row>
    <row r="38" spans="1:14" s="54" customFormat="1" ht="15">
      <c r="A38" s="62"/>
      <c r="B38" s="147" t="s">
        <v>10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5"/>
      <c r="N38" s="57"/>
    </row>
    <row r="39" spans="1:14" s="54" customFormat="1" ht="15">
      <c r="A39" s="62"/>
      <c r="B39" s="148" t="s">
        <v>22</v>
      </c>
      <c r="C39" s="149">
        <f aca="true" t="shared" si="15" ref="C39:M39">-C13</f>
        <v>120</v>
      </c>
      <c r="D39" s="149">
        <f t="shared" si="15"/>
        <v>110.89584501355394</v>
      </c>
      <c r="E39" s="149">
        <f t="shared" si="15"/>
        <v>101.2454407279211</v>
      </c>
      <c r="F39" s="149">
        <f t="shared" si="15"/>
        <v>91.01601218515032</v>
      </c>
      <c r="G39" s="149">
        <f t="shared" si="15"/>
        <v>80.17281792981328</v>
      </c>
      <c r="H39" s="149">
        <f t="shared" si="15"/>
        <v>68.67903201915601</v>
      </c>
      <c r="I39" s="149">
        <f t="shared" si="15"/>
        <v>56.495618953859314</v>
      </c>
      <c r="J39" s="149">
        <f t="shared" si="15"/>
        <v>43.58120110464482</v>
      </c>
      <c r="K39" s="149">
        <f t="shared" si="15"/>
        <v>29.89191818447745</v>
      </c>
      <c r="L39" s="149">
        <f t="shared" si="15"/>
        <v>15.381278289100038</v>
      </c>
      <c r="M39" s="155">
        <f t="shared" si="15"/>
        <v>717.3591644076763</v>
      </c>
      <c r="N39" s="57"/>
    </row>
    <row r="40" spans="1:14" s="54" customFormat="1" ht="15.75" thickBot="1">
      <c r="A40" s="62"/>
      <c r="B40" s="152" t="s">
        <v>21</v>
      </c>
      <c r="C40" s="153">
        <f aca="true" t="shared" si="16" ref="C40:M40">-C25</f>
        <v>120</v>
      </c>
      <c r="D40" s="153">
        <f t="shared" si="16"/>
        <v>108</v>
      </c>
      <c r="E40" s="153">
        <f t="shared" si="16"/>
        <v>96</v>
      </c>
      <c r="F40" s="153">
        <f t="shared" si="16"/>
        <v>84</v>
      </c>
      <c r="G40" s="153">
        <f t="shared" si="16"/>
        <v>72</v>
      </c>
      <c r="H40" s="153">
        <f t="shared" si="16"/>
        <v>60</v>
      </c>
      <c r="I40" s="153">
        <f t="shared" si="16"/>
        <v>48</v>
      </c>
      <c r="J40" s="153">
        <f t="shared" si="16"/>
        <v>36</v>
      </c>
      <c r="K40" s="153">
        <f t="shared" si="16"/>
        <v>24</v>
      </c>
      <c r="L40" s="153">
        <f t="shared" si="16"/>
        <v>12</v>
      </c>
      <c r="M40" s="156">
        <f t="shared" si="16"/>
        <v>660</v>
      </c>
      <c r="N40" s="57"/>
    </row>
    <row r="41" spans="13:14" s="54" customFormat="1" ht="15.75" thickTop="1">
      <c r="M41" s="67"/>
      <c r="N41" s="57"/>
    </row>
    <row r="42" spans="13:16" s="54" customFormat="1" ht="15">
      <c r="M42" s="67"/>
      <c r="N42" s="57"/>
      <c r="P42" s="54" t="s">
        <v>0</v>
      </c>
    </row>
    <row r="43" spans="6:14" s="54" customFormat="1" ht="15">
      <c r="F43" s="54" t="s">
        <v>0</v>
      </c>
      <c r="M43" s="67"/>
      <c r="N43" s="57"/>
    </row>
    <row r="44" spans="6:14" s="54" customFormat="1" ht="15">
      <c r="F44" s="54" t="s">
        <v>0</v>
      </c>
      <c r="M44" s="67"/>
      <c r="N44" s="57"/>
    </row>
    <row r="45" spans="13:14" s="54" customFormat="1" ht="15">
      <c r="M45" s="67"/>
      <c r="N45" s="57"/>
    </row>
    <row r="46" spans="13:14" s="54" customFormat="1" ht="15">
      <c r="M46" s="67"/>
      <c r="N46" s="57"/>
    </row>
    <row r="47" spans="13:14" s="54" customFormat="1" ht="15">
      <c r="M47" s="67"/>
      <c r="N47" s="57"/>
    </row>
    <row r="48" spans="13:14" s="54" customFormat="1" ht="15">
      <c r="M48" s="67"/>
      <c r="N48" s="57"/>
    </row>
    <row r="49" spans="13:14" s="54" customFormat="1" ht="15">
      <c r="M49" s="67"/>
      <c r="N49" s="57"/>
    </row>
    <row r="50" spans="13:14" s="54" customFormat="1" ht="15">
      <c r="M50" s="67"/>
      <c r="N50" s="57"/>
    </row>
    <row r="51" spans="13:14" s="54" customFormat="1" ht="15">
      <c r="M51" s="67"/>
      <c r="N51" s="57"/>
    </row>
    <row r="52" spans="13:14" s="54" customFormat="1" ht="15">
      <c r="M52" s="67"/>
      <c r="N52" s="57"/>
    </row>
    <row r="53" spans="13:14" s="54" customFormat="1" ht="15">
      <c r="M53" s="67"/>
      <c r="N53" s="57"/>
    </row>
    <row r="54" spans="13:14" s="54" customFormat="1" ht="15">
      <c r="M54" s="67"/>
      <c r="N54" s="57"/>
    </row>
    <row r="55" spans="13:14" s="54" customFormat="1" ht="15">
      <c r="M55" s="67"/>
      <c r="N55" s="57"/>
    </row>
    <row r="56" spans="13:14" s="54" customFormat="1" ht="15">
      <c r="M56" s="67"/>
      <c r="N56" s="57"/>
    </row>
    <row r="57" spans="13:14" s="54" customFormat="1" ht="15">
      <c r="M57" s="67"/>
      <c r="N57" s="57"/>
    </row>
    <row r="58" spans="13:14" s="54" customFormat="1" ht="15">
      <c r="M58" s="67"/>
      <c r="N58" s="57"/>
    </row>
    <row r="59" spans="13:14" s="54" customFormat="1" ht="15">
      <c r="M59" s="67"/>
      <c r="N59" s="57"/>
    </row>
    <row r="60" spans="13:14" s="54" customFormat="1" ht="15">
      <c r="M60" s="67"/>
      <c r="N60" s="57"/>
    </row>
    <row r="61" spans="13:14" s="54" customFormat="1" ht="15">
      <c r="M61" s="67"/>
      <c r="N61" s="57"/>
    </row>
    <row r="62" spans="13:14" s="54" customFormat="1" ht="15">
      <c r="M62" s="67"/>
      <c r="N62" s="57"/>
    </row>
    <row r="63" spans="13:14" s="54" customFormat="1" ht="15">
      <c r="M63" s="67"/>
      <c r="N63" s="57"/>
    </row>
    <row r="64" spans="13:14" s="54" customFormat="1" ht="15">
      <c r="M64" s="67"/>
      <c r="N64" s="57"/>
    </row>
    <row r="65" spans="13:14" s="54" customFormat="1" ht="15">
      <c r="M65" s="67"/>
      <c r="N65" s="57"/>
    </row>
    <row r="66" spans="13:14" s="54" customFormat="1" ht="15">
      <c r="M66" s="67"/>
      <c r="N66" s="57"/>
    </row>
    <row r="67" spans="13:14" s="54" customFormat="1" ht="15">
      <c r="M67" s="67"/>
      <c r="N67" s="57"/>
    </row>
    <row r="68" spans="13:14" s="54" customFormat="1" ht="15">
      <c r="M68" s="67"/>
      <c r="N68" s="57"/>
    </row>
    <row r="69" spans="13:14" s="54" customFormat="1" ht="15">
      <c r="M69" s="67"/>
      <c r="N69" s="57"/>
    </row>
    <row r="70" spans="13:14" s="54" customFormat="1" ht="15">
      <c r="M70" s="67"/>
      <c r="N70" s="57"/>
    </row>
    <row r="71" spans="13:14" s="54" customFormat="1" ht="15">
      <c r="M71" s="67"/>
      <c r="N71" s="57"/>
    </row>
    <row r="72" spans="13:14" s="54" customFormat="1" ht="15">
      <c r="M72" s="67"/>
      <c r="N72" s="57"/>
    </row>
    <row r="73" spans="13:14" s="54" customFormat="1" ht="15">
      <c r="M73" s="67"/>
      <c r="N73" s="57"/>
    </row>
    <row r="74" spans="13:14" s="54" customFormat="1" ht="15">
      <c r="M74" s="67"/>
      <c r="N74" s="57"/>
    </row>
    <row r="75" spans="13:14" s="54" customFormat="1" ht="15">
      <c r="M75" s="67"/>
      <c r="N75" s="57"/>
    </row>
    <row r="76" spans="13:14" s="54" customFormat="1" ht="15">
      <c r="M76" s="67"/>
      <c r="N76" s="57"/>
    </row>
    <row r="77" spans="13:14" s="54" customFormat="1" ht="15">
      <c r="M77" s="67"/>
      <c r="N77" s="57"/>
    </row>
    <row r="78" spans="13:14" s="54" customFormat="1" ht="15">
      <c r="M78" s="67"/>
      <c r="N78" s="57"/>
    </row>
    <row r="79" spans="13:14" s="54" customFormat="1" ht="15">
      <c r="M79" s="67"/>
      <c r="N79" s="57"/>
    </row>
    <row r="80" spans="13:14" s="54" customFormat="1" ht="15">
      <c r="M80" s="67"/>
      <c r="N80" s="57"/>
    </row>
    <row r="81" spans="13:14" s="54" customFormat="1" ht="15">
      <c r="M81" s="67"/>
      <c r="N81" s="57"/>
    </row>
    <row r="82" spans="13:14" s="54" customFormat="1" ht="15">
      <c r="M82" s="67"/>
      <c r="N82" s="57"/>
    </row>
    <row r="83" spans="13:14" s="54" customFormat="1" ht="15">
      <c r="M83" s="67"/>
      <c r="N83" s="57"/>
    </row>
    <row r="84" spans="13:14" s="54" customFormat="1" ht="15">
      <c r="M84" s="67"/>
      <c r="N84" s="57"/>
    </row>
    <row r="85" spans="13:14" s="54" customFormat="1" ht="15">
      <c r="M85" s="67"/>
      <c r="N85" s="57"/>
    </row>
    <row r="86" spans="13:14" s="54" customFormat="1" ht="15">
      <c r="M86" s="67"/>
      <c r="N86" s="57"/>
    </row>
    <row r="87" spans="13:14" s="54" customFormat="1" ht="15">
      <c r="M87" s="67"/>
      <c r="N87" s="57"/>
    </row>
    <row r="88" spans="13:14" s="54" customFormat="1" ht="15">
      <c r="M88" s="67"/>
      <c r="N88" s="57"/>
    </row>
    <row r="89" spans="13:14" s="54" customFormat="1" ht="15">
      <c r="M89" s="67"/>
      <c r="N89" s="57"/>
    </row>
    <row r="90" spans="13:14" s="54" customFormat="1" ht="15">
      <c r="M90" s="67"/>
      <c r="N90" s="57"/>
    </row>
    <row r="91" spans="13:14" s="54" customFormat="1" ht="15">
      <c r="M91" s="67"/>
      <c r="N91" s="57"/>
    </row>
    <row r="92" spans="13:14" s="54" customFormat="1" ht="15">
      <c r="M92" s="67"/>
      <c r="N92" s="57"/>
    </row>
    <row r="93" spans="13:14" s="54" customFormat="1" ht="15">
      <c r="M93" s="67"/>
      <c r="N93" s="57"/>
    </row>
    <row r="94" spans="13:14" s="54" customFormat="1" ht="15">
      <c r="M94" s="67"/>
      <c r="N94" s="57"/>
    </row>
    <row r="95" spans="13:14" s="54" customFormat="1" ht="15">
      <c r="M95" s="67"/>
      <c r="N95" s="57"/>
    </row>
    <row r="96" spans="13:14" s="54" customFormat="1" ht="15">
      <c r="M96" s="67"/>
      <c r="N96" s="57"/>
    </row>
    <row r="97" spans="13:14" s="54" customFormat="1" ht="15">
      <c r="M97" s="67"/>
      <c r="N97" s="57"/>
    </row>
    <row r="98" spans="13:14" s="54" customFormat="1" ht="15">
      <c r="M98" s="67"/>
      <c r="N98" s="57"/>
    </row>
    <row r="99" spans="13:14" s="54" customFormat="1" ht="15">
      <c r="M99" s="67"/>
      <c r="N99" s="57"/>
    </row>
    <row r="100" spans="13:14" s="54" customFormat="1" ht="15">
      <c r="M100" s="67"/>
      <c r="N100" s="57"/>
    </row>
    <row r="101" spans="13:14" s="54" customFormat="1" ht="15">
      <c r="M101" s="67"/>
      <c r="N101" s="57"/>
    </row>
    <row r="102" spans="13:14" s="54" customFormat="1" ht="15">
      <c r="M102" s="67"/>
      <c r="N102" s="57"/>
    </row>
    <row r="103" spans="13:14" s="54" customFormat="1" ht="15">
      <c r="M103" s="67"/>
      <c r="N103" s="57"/>
    </row>
    <row r="104" spans="13:14" s="54" customFormat="1" ht="15">
      <c r="M104" s="67"/>
      <c r="N104" s="57"/>
    </row>
    <row r="105" spans="13:14" s="54" customFormat="1" ht="15">
      <c r="M105" s="67"/>
      <c r="N105" s="57"/>
    </row>
    <row r="106" spans="13:14" s="54" customFormat="1" ht="15">
      <c r="M106" s="67"/>
      <c r="N106" s="57"/>
    </row>
    <row r="107" spans="13:14" s="54" customFormat="1" ht="15">
      <c r="M107" s="67"/>
      <c r="N107" s="57"/>
    </row>
    <row r="108" spans="13:14" s="54" customFormat="1" ht="15">
      <c r="M108" s="67"/>
      <c r="N108" s="57"/>
    </row>
    <row r="109" spans="13:14" s="54" customFormat="1" ht="15">
      <c r="M109" s="67"/>
      <c r="N109" s="57"/>
    </row>
    <row r="110" spans="13:14" s="54" customFormat="1" ht="15">
      <c r="M110" s="67"/>
      <c r="N110" s="57"/>
    </row>
    <row r="111" spans="13:14" s="54" customFormat="1" ht="15">
      <c r="M111" s="67"/>
      <c r="N111" s="57"/>
    </row>
    <row r="112" spans="13:14" s="54" customFormat="1" ht="15">
      <c r="M112" s="67"/>
      <c r="N112" s="57"/>
    </row>
    <row r="113" spans="13:14" s="54" customFormat="1" ht="15">
      <c r="M113" s="67"/>
      <c r="N113" s="57"/>
    </row>
    <row r="114" spans="13:14" s="54" customFormat="1" ht="15">
      <c r="M114" s="67"/>
      <c r="N114" s="57"/>
    </row>
    <row r="115" spans="13:14" s="54" customFormat="1" ht="15">
      <c r="M115" s="67"/>
      <c r="N115" s="57"/>
    </row>
    <row r="116" spans="13:14" s="54" customFormat="1" ht="15">
      <c r="M116" s="67"/>
      <c r="N116" s="57"/>
    </row>
    <row r="117" spans="13:14" s="54" customFormat="1" ht="15">
      <c r="M117" s="67"/>
      <c r="N117" s="57"/>
    </row>
    <row r="118" spans="13:14" s="54" customFormat="1" ht="15">
      <c r="M118" s="67"/>
      <c r="N118" s="57"/>
    </row>
    <row r="119" spans="13:14" s="54" customFormat="1" ht="15">
      <c r="M119" s="67"/>
      <c r="N119" s="57"/>
    </row>
    <row r="120" spans="13:14" s="54" customFormat="1" ht="15">
      <c r="M120" s="67"/>
      <c r="N120" s="57"/>
    </row>
    <row r="121" spans="13:14" s="54" customFormat="1" ht="15">
      <c r="M121" s="67"/>
      <c r="N121" s="57"/>
    </row>
    <row r="122" spans="13:14" s="54" customFormat="1" ht="15">
      <c r="M122" s="67"/>
      <c r="N122" s="57"/>
    </row>
    <row r="123" spans="13:14" s="54" customFormat="1" ht="15">
      <c r="M123" s="67"/>
      <c r="N123" s="57"/>
    </row>
    <row r="124" spans="13:14" s="54" customFormat="1" ht="15">
      <c r="M124" s="67"/>
      <c r="N124" s="57"/>
    </row>
    <row r="125" spans="13:14" s="54" customFormat="1" ht="15">
      <c r="M125" s="67"/>
      <c r="N125" s="57"/>
    </row>
    <row r="126" spans="13:14" s="54" customFormat="1" ht="15">
      <c r="M126" s="67"/>
      <c r="N126" s="57"/>
    </row>
  </sheetData>
  <sheetProtection/>
  <mergeCells count="2">
    <mergeCell ref="C32:L32"/>
    <mergeCell ref="B7:L7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PIG</cp:lastModifiedBy>
  <cp:lastPrinted>2015-04-10T11:38:26Z</cp:lastPrinted>
  <dcterms:created xsi:type="dcterms:W3CDTF">2007-01-01T19:46:20Z</dcterms:created>
  <dcterms:modified xsi:type="dcterms:W3CDTF">2017-03-07T09:20:43Z</dcterms:modified>
  <cp:category/>
  <cp:version/>
  <cp:contentType/>
  <cp:contentStatus/>
</cp:coreProperties>
</file>